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ustomProperty1.bin" ContentType="application/vnd.openxmlformats-officedocument.spreadsheetml.customProperty"/>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ACentral\2019 Projects\"/>
    </mc:Choice>
  </mc:AlternateContent>
  <bookViews>
    <workbookView xWindow="480" yWindow="-90" windowWidth="27705" windowHeight="9570" tabRatio="550" activeTab="4"/>
  </bookViews>
  <sheets>
    <sheet name="Lookups" sheetId="5" r:id="rId1"/>
    <sheet name="CapFeat-UI" sheetId="3" r:id="rId2"/>
    <sheet name="US-UI" sheetId="7" r:id="rId3"/>
    <sheet name="CapImport" sheetId="1" r:id="rId4"/>
    <sheet name="FeatImport" sheetId="4" r:id="rId5"/>
  </sheets>
  <definedNames>
    <definedName name="ProjectTypes">Lookups!$B$18:$B$29</definedName>
    <definedName name="TeamNames">Lookups!$B$7:$B$15</definedName>
  </definedNames>
  <calcPr calcId="162913"/>
</workbook>
</file>

<file path=xl/calcChain.xml><?xml version="1.0" encoding="utf-8"?>
<calcChain xmlns="http://schemas.openxmlformats.org/spreadsheetml/2006/main">
  <c r="C30" i="7" l="1"/>
  <c r="B7" i="4" l="1"/>
  <c r="B6" i="4"/>
  <c r="B5" i="4"/>
  <c r="B4" i="4"/>
  <c r="B3" i="4"/>
  <c r="G13" i="3" l="1"/>
  <c r="I10" i="4" l="1"/>
  <c r="D30" i="7"/>
  <c r="B8" i="4"/>
  <c r="C34" i="3" s="1"/>
  <c r="I17" i="7" l="1"/>
  <c r="H2" i="1" l="1"/>
  <c r="O2" i="4"/>
  <c r="F9" i="5" l="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K2" i="4" l="1"/>
  <c r="K3" i="4" s="1"/>
  <c r="D2" i="4" l="1"/>
  <c r="L2" i="4" s="1"/>
  <c r="E9" i="5" l="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J13" i="3"/>
  <c r="E10" i="4" l="1"/>
  <c r="G30" i="7"/>
  <c r="D31" i="7"/>
  <c r="E29" i="7"/>
  <c r="E28" i="7"/>
  <c r="E27" i="7"/>
  <c r="E26" i="7"/>
  <c r="E10" i="7" s="1"/>
  <c r="E25" i="7"/>
  <c r="E9" i="7" s="1"/>
  <c r="E24" i="7"/>
  <c r="D18" i="7" l="1"/>
  <c r="G18" i="7" s="1"/>
  <c r="D17" i="7"/>
  <c r="E12" i="7"/>
  <c r="E13" i="7"/>
  <c r="E11" i="7"/>
  <c r="M3" i="4"/>
  <c r="M4" i="4" s="1"/>
  <c r="M5" i="4" s="1"/>
  <c r="M6" i="4" s="1"/>
  <c r="M7" i="4" s="1"/>
  <c r="M8" i="4" s="1"/>
  <c r="M9" i="4" s="1"/>
  <c r="M10" i="4" s="1"/>
  <c r="O3" i="4"/>
  <c r="O4" i="4" s="1"/>
  <c r="O5" i="4" s="1"/>
  <c r="O6" i="4" s="1"/>
  <c r="O7" i="4" s="1"/>
  <c r="O8" i="4" s="1"/>
  <c r="O9" i="4" s="1"/>
  <c r="O10" i="4" s="1"/>
  <c r="H18" i="7" l="1"/>
  <c r="F17" i="7"/>
  <c r="H17" i="7"/>
  <c r="G17" i="7"/>
  <c r="F18" i="7" l="1"/>
  <c r="H3" i="4" l="1"/>
  <c r="H4" i="4" s="1"/>
  <c r="H5" i="4" s="1"/>
  <c r="H6" i="4" s="1"/>
  <c r="H9" i="4" s="1"/>
  <c r="H8" i="4" s="1"/>
  <c r="H10" i="4" s="1"/>
  <c r="B2" i="4" l="1"/>
  <c r="C28" i="3" s="1"/>
  <c r="I7" i="7" l="1"/>
  <c r="I8" i="7"/>
  <c r="I6" i="7"/>
  <c r="I5" i="7"/>
  <c r="I4" i="7"/>
  <c r="H13" i="3" l="1"/>
  <c r="B9" i="4"/>
  <c r="C33" i="3" s="1"/>
  <c r="G5" i="3"/>
  <c r="C32" i="3"/>
  <c r="C31" i="3"/>
  <c r="C30" i="3"/>
  <c r="C29" i="3"/>
  <c r="B10" i="4"/>
  <c r="C35" i="3" s="1"/>
  <c r="I16" i="7" l="1"/>
  <c r="I15" i="7"/>
  <c r="I13" i="3"/>
  <c r="E30" i="7"/>
  <c r="G6" i="3"/>
  <c r="G7" i="3" s="1"/>
  <c r="G8" i="3" s="1"/>
  <c r="G9" i="3" s="1"/>
  <c r="G10" i="3" s="1"/>
  <c r="J5" i="3"/>
  <c r="F31" i="7"/>
  <c r="I12" i="7"/>
  <c r="I13" i="7"/>
  <c r="I14" i="7"/>
  <c r="I9" i="7"/>
  <c r="I10" i="7"/>
  <c r="I11" i="7"/>
  <c r="D3" i="4"/>
  <c r="D4" i="4" s="1"/>
  <c r="D5" i="4" s="1"/>
  <c r="D6" i="4" s="1"/>
  <c r="D7" i="4" s="1"/>
  <c r="D8" i="4" s="1"/>
  <c r="D9" i="4" s="1"/>
  <c r="D10" i="4" s="1"/>
  <c r="L3" i="4"/>
  <c r="L4" i="4" s="1"/>
  <c r="L5" i="4" s="1"/>
  <c r="L6" i="4" s="1"/>
  <c r="L7" i="4" s="1"/>
  <c r="L8" i="4" s="1"/>
  <c r="L9" i="4" s="1"/>
  <c r="L10" i="4" s="1"/>
  <c r="E31" i="7"/>
  <c r="I2" i="4"/>
  <c r="D24" i="7"/>
  <c r="D4" i="7"/>
  <c r="K4" i="4"/>
  <c r="G31" i="7"/>
  <c r="I18" i="7"/>
  <c r="I5" i="3"/>
  <c r="A2" i="1"/>
  <c r="D2" i="1"/>
  <c r="J10" i="4" l="1"/>
  <c r="F30" i="7"/>
  <c r="H4" i="7"/>
  <c r="G4" i="7"/>
  <c r="I10" i="3"/>
  <c r="J7" i="4" s="1"/>
  <c r="I7" i="4"/>
  <c r="G11" i="3"/>
  <c r="J10" i="3"/>
  <c r="C27" i="3"/>
  <c r="A2" i="4" s="1"/>
  <c r="A3" i="4" s="1"/>
  <c r="A4" i="4" s="1"/>
  <c r="A5" i="4" s="1"/>
  <c r="A6" i="4" s="1"/>
  <c r="J6" i="3"/>
  <c r="D25" i="7"/>
  <c r="D9" i="7" s="1"/>
  <c r="I6" i="3"/>
  <c r="J3" i="4" s="1"/>
  <c r="I3" i="4"/>
  <c r="D5" i="7"/>
  <c r="J2" i="4"/>
  <c r="F24" i="7"/>
  <c r="F4" i="7"/>
  <c r="E2" i="4"/>
  <c r="G24" i="7"/>
  <c r="K5" i="4"/>
  <c r="K6" i="4" s="1"/>
  <c r="K7" i="4" s="1"/>
  <c r="K8" i="4" s="1"/>
  <c r="K9" i="4" s="1"/>
  <c r="K10" i="4" s="1"/>
  <c r="F2" i="1"/>
  <c r="E2" i="1"/>
  <c r="I2" i="1" s="1"/>
  <c r="C2" i="1"/>
  <c r="B2" i="1"/>
  <c r="A9" i="4" l="1"/>
  <c r="A8" i="4" s="1"/>
  <c r="A10" i="4" s="1"/>
  <c r="A7" i="4"/>
  <c r="D6" i="7"/>
  <c r="H5" i="7"/>
  <c r="G5" i="7"/>
  <c r="H9" i="7"/>
  <c r="G9" i="7"/>
  <c r="I11" i="3"/>
  <c r="J8" i="4" s="1"/>
  <c r="I8" i="4"/>
  <c r="G12" i="3"/>
  <c r="I9" i="4" s="1"/>
  <c r="J11" i="3"/>
  <c r="E7" i="4" s="1"/>
  <c r="F25" i="7"/>
  <c r="F9" i="7"/>
  <c r="G25" i="7"/>
  <c r="E3" i="4"/>
  <c r="J7" i="3"/>
  <c r="D26" i="7"/>
  <c r="D10" i="7" s="1"/>
  <c r="I4" i="4"/>
  <c r="I7" i="3"/>
  <c r="J4" i="4" s="1"/>
  <c r="F5" i="7"/>
  <c r="D8" i="7" s="1"/>
  <c r="G8" i="7" l="1"/>
  <c r="H8" i="7"/>
  <c r="G10" i="7"/>
  <c r="H10" i="7"/>
  <c r="D7" i="7"/>
  <c r="F7" i="7" s="1"/>
  <c r="H6" i="7"/>
  <c r="G6" i="7"/>
  <c r="G26" i="7"/>
  <c r="E4" i="4"/>
  <c r="F26" i="7"/>
  <c r="J8" i="3"/>
  <c r="D27" i="7"/>
  <c r="D11" i="7" s="1"/>
  <c r="I5" i="4"/>
  <c r="I8" i="3"/>
  <c r="J5" i="4" s="1"/>
  <c r="F10" i="7"/>
  <c r="F8" i="7"/>
  <c r="F6" i="7"/>
  <c r="H7" i="7" l="1"/>
  <c r="G7" i="7"/>
  <c r="H11" i="7"/>
  <c r="G11" i="7"/>
  <c r="F27" i="7"/>
  <c r="J9" i="3"/>
  <c r="D28" i="7"/>
  <c r="I9" i="3"/>
  <c r="J6" i="4" s="1"/>
  <c r="I6" i="4"/>
  <c r="F11" i="7"/>
  <c r="G27" i="7"/>
  <c r="E5" i="4"/>
  <c r="D13" i="7" l="1"/>
  <c r="D12" i="7"/>
  <c r="E6" i="4"/>
  <c r="G28" i="7"/>
  <c r="J12" i="3"/>
  <c r="D29" i="7"/>
  <c r="D15" i="7" s="1"/>
  <c r="I12" i="3"/>
  <c r="J9" i="4" s="1"/>
  <c r="F28" i="7"/>
  <c r="H12" i="7" l="1"/>
  <c r="G12" i="7"/>
  <c r="D16" i="7"/>
  <c r="H15" i="7"/>
  <c r="G15" i="7"/>
  <c r="G13" i="7"/>
  <c r="H13" i="7"/>
  <c r="E9" i="4"/>
  <c r="E8" i="4"/>
  <c r="F29" i="7"/>
  <c r="G29" i="7"/>
  <c r="F13" i="7"/>
  <c r="D14" i="7" s="1"/>
  <c r="F15" i="7"/>
  <c r="F12" i="7"/>
  <c r="G16" i="7" l="1"/>
  <c r="H16" i="7"/>
  <c r="H14" i="7"/>
  <c r="G14" i="7"/>
  <c r="F16" i="7"/>
  <c r="F14" i="7"/>
</calcChain>
</file>

<file path=xl/sharedStrings.xml><?xml version="1.0" encoding="utf-8"?>
<sst xmlns="http://schemas.openxmlformats.org/spreadsheetml/2006/main" count="339" uniqueCount="203">
  <si>
    <t>Name</t>
  </si>
  <si>
    <t>PlannedEndDate</t>
  </si>
  <si>
    <t>PlannedStartDate</t>
  </si>
  <si>
    <t>LeadTeam</t>
  </si>
  <si>
    <t>Owner</t>
  </si>
  <si>
    <t>Project</t>
  </si>
  <si>
    <t>Capability Created</t>
  </si>
  <si>
    <t>Project Number</t>
  </si>
  <si>
    <t>Planned Start Date</t>
  </si>
  <si>
    <t>Planned End Date</t>
  </si>
  <si>
    <t>Assigned Team</t>
  </si>
  <si>
    <t>Description</t>
  </si>
  <si>
    <t>PPM Optics ID (PRJxxxxxx)</t>
  </si>
  <si>
    <t>TeamNames</t>
  </si>
  <si>
    <t>Values</t>
  </si>
  <si>
    <t>Formats</t>
  </si>
  <si>
    <t>PRJxxxxxx</t>
  </si>
  <si>
    <t>mm/dd/ccyy</t>
  </si>
  <si>
    <t>Input Fields</t>
  </si>
  <si>
    <t>Environment</t>
  </si>
  <si>
    <t>PPMOpticsIDPRJxxxxxx</t>
  </si>
  <si>
    <t>Parent</t>
  </si>
  <si>
    <t>Release</t>
  </si>
  <si>
    <t>Not Applicable</t>
  </si>
  <si>
    <t>Feature Created</t>
  </si>
  <si>
    <t>Parent Capability Name</t>
  </si>
  <si>
    <t>RO - Display Only</t>
  </si>
  <si>
    <t>Capability Short Name</t>
  </si>
  <si>
    <t>Capability Title</t>
  </si>
  <si>
    <t xml:space="preserve">Completed:
</t>
  </si>
  <si>
    <t xml:space="preserve">Next Steps:
</t>
  </si>
  <si>
    <t xml:space="preserve">In Scope / Out of Scope:
</t>
  </si>
  <si>
    <t xml:space="preserve">Notes:
</t>
  </si>
  <si>
    <t xml:space="preserve">Contacts:
</t>
  </si>
  <si>
    <t xml:space="preserve">Acceptance Criteria
</t>
  </si>
  <si>
    <t>Bold</t>
  </si>
  <si>
    <t>&lt;b&gt;</t>
  </si>
  <si>
    <t>CRLF</t>
  </si>
  <si>
    <t>&lt;br /&gt;&lt;br /&gt;</t>
  </si>
  <si>
    <t>&lt;/b&gt;&lt;br /&gt;</t>
  </si>
  <si>
    <t>Project Type</t>
  </si>
  <si>
    <t xml:space="preserve">No more than 50 chars </t>
  </si>
  <si>
    <t>Capability Import Form</t>
  </si>
  <si>
    <t>&lt;p&gt;As Application team member I want to have all my project upgrades complete so that the application&amp;nbsp;can support my business customers&lt;/p&gt;&lt;p&gt;&lt;font color="#ffffff" style="background-color: rgb(255, 0, 0);"&gt;Acceptance Criteria:&lt;/font&gt;&lt;/p&gt;&lt;p&gt;All work is completed based on SLD and project charter&lt;/p&gt;&lt;p&gt;All devices are in production status&lt;/p&gt;&lt;p&gt;Operational Readiness plan completed&lt;br /&gt;&lt;/p&gt;</t>
  </si>
  <si>
    <t>&lt;p&gt;As Application team member, I want my DEV environment built out to support my business customers&lt;/p&gt;&lt;p&gt;&lt;font color="#ffffff" style="background-color: rgb(255, 0, 0);"&gt;Acceptance Criteria&lt;/font&gt;&lt;br /&gt;&amp;nbsp;&amp;nbsp; App team have logged onto and verified servers are built to their requirements. &lt;br /&gt;&amp;nbsp;&amp;nbsp; Correct access / permissions are in place for the application team&lt;/p&gt;</t>
  </si>
  <si>
    <t>Development</t>
  </si>
  <si>
    <t>Test</t>
  </si>
  <si>
    <t>&lt;p&gt;As Application team member, I want my TST environment built out to support my business customers&lt;/p&gt;&lt;p&gt;&lt;font color="#ffffff" style="background-color: rgb(255, 0, 0);"&gt;Acceptance Criteria&lt;/font&gt;&lt;br /&gt;&amp;nbsp;&amp;nbsp; App team have logged onto and verified servers are built to their requirements. &lt;br /&gt;&amp;nbsp;&amp;nbsp; Correct access / permissions are in place for the application team&lt;/p&gt;</t>
  </si>
  <si>
    <t>Stage</t>
  </si>
  <si>
    <t>&lt;p&gt;As Application team member, I want my STG environment built out to support my business customers&lt;/p&gt;&lt;p&gt;&lt;font color="#ffffff" style="background-color: rgb(255, 0, 0);"&gt;Acceptance Criteria&lt;/font&gt;&lt;br /&gt;&amp;nbsp;&amp;nbsp; App team have logged onto and verified servers are built to their requirements. &lt;br /&gt;&amp;nbsp;&amp;nbsp; Correct access / permissions are in place for the application team&lt;/p&gt;</t>
  </si>
  <si>
    <t>&lt;p&gt;As Application team member, I want my PRD environment built out to support my business customers&lt;/p&gt;&lt;p&gt;&lt;font color="#ffffff" style="background-color: rgb(255, 0, 0);"&gt;Acceptance Criteria&lt;/font&gt;&lt;br /&gt;&amp;nbsp;&amp;nbsp; App team have logged onto and verified servers are built to their requirements. &lt;br /&gt;&amp;nbsp;&amp;nbsp; Correct access / permissions are in place for the application team&lt;/p&gt;</t>
  </si>
  <si>
    <t>Production</t>
  </si>
  <si>
    <t>Intial Engagement</t>
  </si>
  <si>
    <t>IB&amp;D DEVELOPMENT Env Widgets</t>
  </si>
  <si>
    <t>IB&amp;D TEST Env Widgets</t>
  </si>
  <si>
    <t>IB&amp;D STAGE Env Widgets</t>
  </si>
  <si>
    <t>IB&amp;D PRODUCTION Env Widgets</t>
  </si>
  <si>
    <t>TRUE-UP &amp; Close</t>
  </si>
  <si>
    <t>Start Date</t>
  </si>
  <si>
    <t>End Date</t>
  </si>
  <si>
    <t>Iteration</t>
  </si>
  <si>
    <t>Read Only fields that are needed</t>
  </si>
  <si>
    <t>GO-LIVE, Warranty Support Work</t>
  </si>
  <si>
    <t>Planned 
Start Date</t>
  </si>
  <si>
    <t>Planned 
End Date</t>
  </si>
  <si>
    <t>Duration
(Days)</t>
  </si>
  <si>
    <t>&lt;p&gt;As Application team member I need to Go-live work completed and 30 day Warranty support from all involved parties to make sure this project is successful&lt;/p&gt;&lt;p&gt;&lt;font color="#ffffff" style="background-color: rgb(255, 0, 0);"&gt;Acceptance Criteria:&lt;/font&gt;&lt;br /&gt;For Go -Live and 30 day warranty support: make sure all necessary work is completed to keep app running in production&lt;/p&gt;</t>
  </si>
  <si>
    <r>
      <t xml:space="preserve">This are </t>
    </r>
    <r>
      <rPr>
        <b/>
        <sz val="11"/>
        <color rgb="FFFF0000"/>
        <rFont val="Calibri"/>
        <family val="2"/>
        <scheme val="minor"/>
      </rPr>
      <t>Read-Only</t>
    </r>
    <r>
      <rPr>
        <b/>
        <sz val="11"/>
        <color theme="1"/>
        <rFont val="Calibri"/>
        <family val="2"/>
        <scheme val="minor"/>
      </rPr>
      <t xml:space="preserve"> cells and should not be changed</t>
    </r>
  </si>
  <si>
    <t>Feature Import Form - Mile Stone level</t>
  </si>
  <si>
    <t>&lt;---Select from Drop Down</t>
  </si>
  <si>
    <t>short name (goes after ,)</t>
  </si>
  <si>
    <t>Input 
Fields</t>
  </si>
  <si>
    <t xml:space="preserve">Values
</t>
  </si>
  <si>
    <t xml:space="preserve">Formats
</t>
  </si>
  <si>
    <t xml:space="preserve">Release
</t>
  </si>
  <si>
    <t>Free Form
&lt;alt&gt;+Enter for CRLF</t>
  </si>
  <si>
    <t>Parent Feature Name</t>
  </si>
  <si>
    <t>Belongs to feature parent</t>
  </si>
  <si>
    <t>Preliminary Estimate</t>
  </si>
  <si>
    <t>SLD designed and approved</t>
  </si>
  <si>
    <t>Project Close-Out</t>
  </si>
  <si>
    <t>Ops Readiness Final  Review</t>
  </si>
  <si>
    <t>Ops Readiness Initial Review</t>
  </si>
  <si>
    <t>Estimate created and approved</t>
  </si>
  <si>
    <t xml:space="preserve">Initial Skeleton User Story  Import Form </t>
  </si>
  <si>
    <t>First Name</t>
  </si>
  <si>
    <t>Last Name</t>
  </si>
  <si>
    <t>Email Address</t>
  </si>
  <si>
    <t>Role</t>
  </si>
  <si>
    <t>PM</t>
  </si>
  <si>
    <t>TDO</t>
  </si>
  <si>
    <t>SM</t>
  </si>
  <si>
    <t>DE</t>
  </si>
  <si>
    <t>Feature Reference Data</t>
  </si>
  <si>
    <t>Prework for Go-Live (mm/dd/yy), Warranty End Date (mm/dd/yy)</t>
  </si>
  <si>
    <t>L1-ASK, TMDB, Project Numbers Created</t>
  </si>
  <si>
    <t xml:space="preserve">(PLACEHOLDER) Build and Deliver DEVELOPMENT Widgets </t>
  </si>
  <si>
    <t xml:space="preserve">(PLACEHOLDER) Build and Deliver TEST Widgets </t>
  </si>
  <si>
    <t>(PLACEHOLDER) Build and Deliver PRODUCTION Widgets (1 of 2)</t>
  </si>
  <si>
    <t>(PLACEHOLDER) Build and Deliver PRODUCTION Widgets (2 of 2)</t>
  </si>
  <si>
    <t>PO</t>
  </si>
  <si>
    <t>Charles</t>
  </si>
  <si>
    <t>Colstrom</t>
  </si>
  <si>
    <t>charles.colstrom@optum.com</t>
  </si>
  <si>
    <t>BLD</t>
  </si>
  <si>
    <t>Kim</t>
  </si>
  <si>
    <t>Feature Owner</t>
  </si>
  <si>
    <t>Capabiliy and Feature Owner's List</t>
  </si>
  <si>
    <t>Capabilty Owner</t>
  </si>
  <si>
    <t>User Story Owner's List</t>
  </si>
  <si>
    <r>
      <t xml:space="preserve">Grey background cells are </t>
    </r>
    <r>
      <rPr>
        <b/>
        <sz val="11"/>
        <color rgb="FFFF0000"/>
        <rFont val="Calibri"/>
        <family val="2"/>
        <scheme val="minor"/>
      </rPr>
      <t>Read-Only</t>
    </r>
    <r>
      <rPr>
        <b/>
        <sz val="11"/>
        <color theme="1"/>
        <rFont val="Calibri"/>
        <family val="2"/>
        <scheme val="minor"/>
      </rPr>
      <t xml:space="preserve"> and should not be changed</t>
    </r>
  </si>
  <si>
    <t>None</t>
  </si>
  <si>
    <t>M&amp;V</t>
  </si>
  <si>
    <t>DNU</t>
  </si>
  <si>
    <t>Initiate EIS Early Engagement Identification</t>
  </si>
  <si>
    <t>(PLACEHOLDER) Build and Deliver STAGE Widgets</t>
  </si>
  <si>
    <t>North Stars</t>
  </si>
  <si>
    <t>Phoenix Fire</t>
  </si>
  <si>
    <t>Castellan</t>
  </si>
  <si>
    <t>Chanakya</t>
  </si>
  <si>
    <t>EMPP</t>
  </si>
  <si>
    <t>Polaris</t>
  </si>
  <si>
    <t>Cloud Adoption</t>
  </si>
  <si>
    <t>E and I</t>
  </si>
  <si>
    <t>Program lvl</t>
  </si>
  <si>
    <t>M and V</t>
  </si>
  <si>
    <t>Provider</t>
  </si>
  <si>
    <t>IHR</t>
  </si>
  <si>
    <t>PLM</t>
  </si>
  <si>
    <t>Pol</t>
  </si>
  <si>
    <t>CA</t>
  </si>
  <si>
    <t>PL</t>
  </si>
  <si>
    <t>Pro</t>
  </si>
  <si>
    <t>DBA</t>
  </si>
  <si>
    <t>CBV</t>
  </si>
  <si>
    <t>Rook</t>
  </si>
  <si>
    <t>kim.rook@optum.com</t>
  </si>
  <si>
    <t>eBiz</t>
  </si>
  <si>
    <t>Perf</t>
  </si>
  <si>
    <t>Sean</t>
  </si>
  <si>
    <t>Gillespie</t>
  </si>
  <si>
    <t>sean_gillespie@optum.com</t>
  </si>
  <si>
    <t>EBIZ</t>
  </si>
  <si>
    <t>Release 18</t>
  </si>
  <si>
    <t>R18 Sprint 1</t>
  </si>
  <si>
    <t>R18 Sprint 2</t>
  </si>
  <si>
    <t>R18 Sprint 3</t>
  </si>
  <si>
    <t>R18 Sprint 4</t>
  </si>
  <si>
    <t>R18 Sprint 5</t>
  </si>
  <si>
    <t>R19 Sprint 1</t>
  </si>
  <si>
    <t>Release 19</t>
  </si>
  <si>
    <t>M</t>
  </si>
  <si>
    <t>&lt;p&gt;As a member of the project team, I need all project completion activities done so the project can be marked complete in all systems.&lt;/p&gt;&lt;p&gt;&lt;font color="#ffffff" style="background-color: rgb(255, 0, 0);"&gt;Acceptance Criteria&lt;/font&gt;&lt;br /&gt;&amp;nbsp;&amp;nbsp; Project chargeback validation team engaged. &lt;br /&gt;&amp;nbsp;&amp;nbsp; Any necessary server decommissions are submitted&lt;/p&gt;</t>
  </si>
  <si>
    <t>&lt;p&gt;As Application team member, I want my environments to be setup with all post config setups for the new application are complete. This may include Firewall Rules, F5, etc...&lt;/p&gt;&lt;p&gt;&lt;font color="#ffffff" style="background-color: rgb(255, 0, 0);"&gt;Acceptance Criteria&lt;/font&gt;&lt;br /&gt;&amp;nbsp;&amp;nbsp; Post Config items identified in SLD completed &lt;br /&gt;&lt;/p&gt;</t>
  </si>
  <si>
    <t>DEVELOPMENT Env Widgets</t>
  </si>
  <si>
    <t>TEST Env Widgets</t>
  </si>
  <si>
    <t>STAGE Env Widgets</t>
  </si>
  <si>
    <t>PRODUCTION Env Widgets</t>
  </si>
  <si>
    <t>Post Build Configs</t>
  </si>
  <si>
    <t>Decom Activities</t>
  </si>
  <si>
    <t>Release 20</t>
  </si>
  <si>
    <t>R20 Sprint 1</t>
  </si>
  <si>
    <t>R19 Sprint 2</t>
  </si>
  <si>
    <t>R19 Sprint 3</t>
  </si>
  <si>
    <t>R19 Sprint 4</t>
  </si>
  <si>
    <t>R19 Sprint 5</t>
  </si>
  <si>
    <t>R20 Sprint 2</t>
  </si>
  <si>
    <t>R20 Sprint 3</t>
  </si>
  <si>
    <t>R20 Sprint 4</t>
  </si>
  <si>
    <t>&lt;p&gt;As application team member I want to have all the&amp;nbsp; initial request numbers in place so I can have my app built to support&amp;nbsp;my business customers&lt;/p&gt;&lt;p&gt;&lt;font color="#ffffff" style="background-color: rgb(255, 0, 0);"&gt;Acceptance Criteria:&lt;/font&gt;&lt;br /&gt;&lt;font color="#ffffff" style="background-color: rgb(255, 0, 0);"&gt;&lt;font color="#000000" style="background-color: rgb(255, 255, 255);"&gt;ASK, TMDB, PROJECT numbers created and validated they are in PPM Optics, ASK, ESC, and vRops&lt;br /&gt;EDR tier rating and RTO defined&lt;br /&gt;SLD Created, approved by app and SE team&lt;br /&gt;Estimate created,&amp;nbsp;approved by app team and standard estimation&amp;nbsp;approval process&lt;/font&gt;&lt;br /&gt;&lt;/font&gt;&lt;/p&gt;&lt;p&gt;&lt;br /&gt;&lt;/p&gt;</t>
  </si>
  <si>
    <t>Feature Delivery Type</t>
  </si>
  <si>
    <t>Non-Deliverable</t>
  </si>
  <si>
    <t>Release 21</t>
  </si>
  <si>
    <t>Release 22</t>
  </si>
  <si>
    <t>R21 Sprint 1</t>
  </si>
  <si>
    <t>R21 Sprint 2</t>
  </si>
  <si>
    <t>R22 Sprint 2</t>
  </si>
  <si>
    <t>R20 Sprint 5</t>
  </si>
  <si>
    <t>R21 Sprint 3</t>
  </si>
  <si>
    <t>R21 Sprint 4</t>
  </si>
  <si>
    <t>R21 Sprint 5</t>
  </si>
  <si>
    <t>R22 Sprint 1</t>
  </si>
  <si>
    <t>R22 Sprint 3</t>
  </si>
  <si>
    <t>R22 Sprint 4</t>
  </si>
  <si>
    <t>E&amp;I</t>
  </si>
  <si>
    <t>Add Servers to CBV Chargeback Record</t>
  </si>
  <si>
    <t>Decom Work</t>
  </si>
  <si>
    <t>STATE</t>
  </si>
  <si>
    <t>Colstom</t>
  </si>
  <si>
    <t>Setup intro and discovery call with app team</t>
  </si>
  <si>
    <t>Confirm hardware and software deployments against application
configuration, infrastructure, and architecture requirements. Validate
Upgrade Software integrations are properly deployed and the correct
components are released and migrated through environment promotion
cycles.</t>
  </si>
  <si>
    <t>PRJ166463</t>
  </si>
  <si>
    <t>M&amp;A</t>
  </si>
  <si>
    <t>Merger &amp; Acquisition</t>
  </si>
  <si>
    <t>M&amp;A_UHOne_Vue_ETS_AHI</t>
  </si>
  <si>
    <t>AHI</t>
  </si>
  <si>
    <t xml:space="preserve"> As an application owner, I need the following </t>
  </si>
  <si>
    <t>Tags</t>
  </si>
  <si>
    <t>NPS Go-Live</t>
  </si>
  <si>
    <t>NPS Estimate
NPS Design</t>
  </si>
  <si>
    <t>NPS NonProd</t>
  </si>
  <si>
    <t>NPS Prod</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</si>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</sst>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1"/>
      <name val="Calibri"/>
      <scheme val="minor"/>
    </font>
    <font>
      <sz val="11"/>
      <color theme="0"/>
      <name val="Calibri"/>
      <scheme val="minor"/>
    </font>
    <font>
      <b/>
      <sz val="11"/>
      <color theme="1"/>
      <name val="Calibri"/>
      <scheme val="minor"/>
    </font>
    <font>
      <sz val="9"/>
      <color theme="1"/>
      <name val="Arial"/>
      <family val="2"/>
    </font>
    <font>
      <sz val="10"/>
      <color rgb="FF1A1A1A"/>
      <name val="Segoe UI"/>
      <family val="2"/>
    </font>
  </fonts>
  <fills count="9">
    <fill>
      <patternFill patternType="none"/>
    </fill>
    <fill>
      <patternFill patternType="gray125"/>
    </fill>
    <fill>
      <patternFill patternType="solid">
        <fgColor theme="4"/>
        <bgColor theme="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s>
  <borders count="4">
    <border>
      <left/>
      <right/>
      <top/>
      <bottom/>
      <diagonal/>
    </border>
    <border>
      <left/>
      <right/>
      <top style="thin">
        <color theme="4" tint="0.39997558519241921"/>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0" fillId="0" borderId="0" xfId="0" applyAlignment="1">
      <alignment vertical="top"/>
    </xf>
    <xf numFmtId="0" fontId="1" fillId="2" borderId="1" xfId="0" applyFont="1" applyFill="1" applyBorder="1" applyAlignment="1">
      <alignment vertical="top"/>
    </xf>
    <xf numFmtId="0" fontId="0" fillId="0" borderId="0" xfId="0" applyAlignment="1">
      <alignment vertical="top" wrapText="1"/>
    </xf>
    <xf numFmtId="0" fontId="0" fillId="0" borderId="0" xfId="0" applyAlignment="1">
      <alignment horizontal="center"/>
    </xf>
    <xf numFmtId="0" fontId="0" fillId="0" borderId="0" xfId="0" applyFill="1" applyAlignment="1">
      <alignment horizontal="center"/>
    </xf>
    <xf numFmtId="0" fontId="2" fillId="0" borderId="0" xfId="0" applyFont="1"/>
    <xf numFmtId="0" fontId="3" fillId="3" borderId="0" xfId="0" applyFont="1" applyFill="1"/>
    <xf numFmtId="14" fontId="0" fillId="0" borderId="0" xfId="0" applyNumberFormat="1" applyAlignment="1">
      <alignment vertical="top" wrapText="1"/>
    </xf>
    <xf numFmtId="0" fontId="3" fillId="3" borderId="0" xfId="0" applyFont="1" applyFill="1" applyAlignment="1">
      <alignment wrapText="1"/>
    </xf>
    <xf numFmtId="0" fontId="0" fillId="5" borderId="0" xfId="0" applyFill="1"/>
    <xf numFmtId="0" fontId="0" fillId="4" borderId="0" xfId="0" applyFill="1"/>
    <xf numFmtId="0" fontId="0" fillId="4" borderId="0" xfId="0" applyFill="1" applyAlignment="1">
      <alignment horizontal="center"/>
    </xf>
    <xf numFmtId="0" fontId="0" fillId="6" borderId="0" xfId="0" applyFill="1"/>
    <xf numFmtId="0" fontId="0" fillId="6" borderId="0" xfId="0" applyFill="1" applyAlignment="1">
      <alignment horizontal="center"/>
    </xf>
    <xf numFmtId="0" fontId="2" fillId="0" borderId="2" xfId="0" applyFont="1" applyFill="1" applyBorder="1" applyAlignment="1">
      <alignment vertical="top"/>
    </xf>
    <xf numFmtId="0" fontId="0" fillId="0" borderId="0" xfId="0" applyNumberFormat="1" applyFill="1" applyAlignment="1">
      <alignment horizontal="center"/>
    </xf>
    <xf numFmtId="14" fontId="0" fillId="0" borderId="0" xfId="0" applyNumberFormat="1" applyFill="1" applyAlignment="1">
      <alignment horizontal="center"/>
    </xf>
    <xf numFmtId="0" fontId="3" fillId="3" borderId="0" xfId="0" applyFont="1" applyFill="1" applyAlignment="1">
      <alignment horizontal="center" vertical="top"/>
    </xf>
    <xf numFmtId="0" fontId="0" fillId="0" borderId="0" xfId="0" applyAlignment="1">
      <alignment horizontal="center" vertical="top"/>
    </xf>
    <xf numFmtId="0" fontId="2" fillId="3" borderId="0" xfId="0" applyFont="1" applyFill="1"/>
    <xf numFmtId="0" fontId="0" fillId="6" borderId="0" xfId="0" applyFill="1" applyAlignment="1">
      <alignment horizontal="left"/>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vertical="top" wrapText="1"/>
    </xf>
    <xf numFmtId="0" fontId="0" fillId="0" borderId="0" xfId="0" applyAlignment="1">
      <alignment wrapText="1"/>
    </xf>
    <xf numFmtId="0" fontId="0" fillId="0" borderId="0" xfId="0" applyFill="1" applyAlignment="1">
      <alignment horizontal="center" vertical="top" wrapText="1"/>
    </xf>
    <xf numFmtId="0" fontId="0" fillId="0" borderId="0" xfId="0" applyAlignment="1">
      <alignment horizontal="center" vertical="top" wrapText="1"/>
    </xf>
    <xf numFmtId="14" fontId="0" fillId="0" borderId="0" xfId="0" applyNumberFormat="1" applyFill="1" applyAlignment="1">
      <alignment horizontal="center" vertical="top" wrapText="1"/>
    </xf>
    <xf numFmtId="0" fontId="0" fillId="7" borderId="0" xfId="0" applyFill="1" applyAlignment="1">
      <alignment horizontal="center" vertical="top"/>
    </xf>
    <xf numFmtId="14" fontId="0" fillId="5" borderId="0" xfId="0" applyNumberFormat="1" applyFill="1" applyAlignment="1">
      <alignment horizontal="center"/>
    </xf>
    <xf numFmtId="0" fontId="0" fillId="5" borderId="0" xfId="0" quotePrefix="1" applyNumberFormat="1" applyFill="1" applyAlignment="1">
      <alignment horizontal="center"/>
    </xf>
    <xf numFmtId="0" fontId="0" fillId="5" borderId="0" xfId="0" applyNumberFormat="1" applyFill="1" applyAlignment="1">
      <alignment horizontal="center"/>
    </xf>
    <xf numFmtId="0" fontId="2" fillId="0" borderId="0" xfId="0" applyFont="1" applyFill="1" applyAlignment="1">
      <alignment horizontal="center" wrapText="1"/>
    </xf>
    <xf numFmtId="14" fontId="0" fillId="5" borderId="3" xfId="0" applyNumberFormat="1" applyFill="1" applyBorder="1" applyAlignment="1">
      <alignment horizontal="center"/>
    </xf>
    <xf numFmtId="0" fontId="0" fillId="0" borderId="0" xfId="0" applyAlignment="1" applyProtection="1">
      <alignment horizontal="left"/>
    </xf>
    <xf numFmtId="0" fontId="0" fillId="0" borderId="0" xfId="0" applyNumberFormat="1" applyAlignment="1" applyProtection="1">
      <alignment horizontal="left"/>
    </xf>
    <xf numFmtId="0" fontId="0" fillId="5" borderId="0" xfId="0" applyFont="1" applyFill="1"/>
    <xf numFmtId="0" fontId="0" fillId="5" borderId="0" xfId="0" applyFont="1" applyFill="1" applyAlignment="1">
      <alignment horizontal="center"/>
    </xf>
    <xf numFmtId="0" fontId="0" fillId="5" borderId="0" xfId="0" applyFont="1" applyFill="1" applyAlignment="1">
      <alignment horizontal="left"/>
    </xf>
    <xf numFmtId="0" fontId="0" fillId="0" borderId="0" xfId="0" applyFill="1" applyAlignment="1">
      <alignment vertical="top"/>
    </xf>
    <xf numFmtId="0" fontId="0" fillId="0" borderId="0" xfId="0" applyFill="1"/>
    <xf numFmtId="0" fontId="0" fillId="5" borderId="0" xfId="0" applyFill="1" applyAlignment="1">
      <alignment horizontal="center"/>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Font="1" applyFill="1" applyAlignment="1">
      <alignment horizontal="center"/>
    </xf>
    <xf numFmtId="0" fontId="3" fillId="0" borderId="0" xfId="0" applyFont="1" applyFill="1" applyAlignment="1">
      <alignment horizontal="left" vertical="top"/>
    </xf>
    <xf numFmtId="0" fontId="4" fillId="0" borderId="0" xfId="0" quotePrefix="1" applyFont="1" applyFill="1" applyAlignment="1">
      <alignment horizontal="center"/>
    </xf>
    <xf numFmtId="0" fontId="7" fillId="0" borderId="0" xfId="0" applyFont="1" applyFill="1" applyAlignment="1">
      <alignment horizontal="center"/>
    </xf>
    <xf numFmtId="0" fontId="0" fillId="5" borderId="0" xfId="0" applyNumberFormat="1" applyFill="1"/>
    <xf numFmtId="1" fontId="0" fillId="0" borderId="0" xfId="0" applyNumberFormat="1" applyFill="1" applyAlignment="1">
      <alignment horizontal="center"/>
    </xf>
    <xf numFmtId="14" fontId="0" fillId="7" borderId="0" xfId="0" applyNumberFormat="1" applyFill="1" applyAlignment="1">
      <alignment horizontal="right" vertical="top"/>
    </xf>
    <xf numFmtId="0" fontId="0" fillId="5" borderId="3" xfId="0" applyFont="1" applyFill="1" applyBorder="1" applyAlignment="1">
      <alignment horizontal="center"/>
    </xf>
    <xf numFmtId="14" fontId="0" fillId="8" borderId="0" xfId="0" applyNumberFormat="1" applyFill="1" applyAlignment="1">
      <alignment horizontal="center"/>
    </xf>
    <xf numFmtId="0" fontId="0" fillId="8" borderId="0" xfId="0" applyFill="1" applyAlignment="1">
      <alignment vertical="top"/>
    </xf>
    <xf numFmtId="0" fontId="2" fillId="5" borderId="2" xfId="0" applyFont="1" applyFill="1" applyBorder="1" applyAlignment="1">
      <alignment vertical="top"/>
    </xf>
    <xf numFmtId="0" fontId="0" fillId="5" borderId="0" xfId="0" quotePrefix="1" applyFill="1" applyAlignment="1">
      <alignment horizontal="center"/>
    </xf>
    <xf numFmtId="0" fontId="2" fillId="5" borderId="0" xfId="0" applyFont="1" applyFill="1"/>
    <xf numFmtId="0" fontId="0" fillId="5" borderId="0" xfId="0" applyFill="1" applyAlignment="1">
      <alignment horizontal="center" vertical="top" wrapText="1"/>
    </xf>
    <xf numFmtId="0" fontId="2" fillId="5" borderId="0" xfId="0" applyFont="1" applyFill="1" applyAlignment="1">
      <alignment horizontal="left" vertical="top"/>
    </xf>
    <xf numFmtId="0" fontId="2" fillId="5" borderId="0" xfId="0" applyFont="1" applyFill="1" applyAlignment="1">
      <alignment horizontal="left" vertical="top" wrapText="1"/>
    </xf>
    <xf numFmtId="0" fontId="0" fillId="0" borderId="0" xfId="0" applyFill="1" applyAlignment="1" applyProtection="1">
      <alignment horizontal="center"/>
    </xf>
    <xf numFmtId="14" fontId="0" fillId="0" borderId="0" xfId="0" quotePrefix="1" applyNumberFormat="1" applyFont="1" applyFill="1" applyAlignment="1">
      <alignment horizontal="center"/>
    </xf>
    <xf numFmtId="14" fontId="0" fillId="0" borderId="0" xfId="0" quotePrefix="1" applyNumberFormat="1" applyFill="1" applyAlignment="1">
      <alignment horizontal="center"/>
    </xf>
    <xf numFmtId="0" fontId="0" fillId="0" borderId="0" xfId="0" applyFill="1" applyAlignment="1">
      <alignment horizontal="left" vertical="top" wrapText="1"/>
    </xf>
    <xf numFmtId="0" fontId="8" fillId="0" borderId="0" xfId="0" applyFont="1" applyFill="1" applyAlignment="1">
      <alignment horizontal="center"/>
    </xf>
    <xf numFmtId="0" fontId="8" fillId="0" borderId="0" xfId="0" quotePrefix="1" applyFont="1" applyFill="1" applyAlignment="1">
      <alignment horizontal="center"/>
    </xf>
    <xf numFmtId="0" fontId="4" fillId="0" borderId="0" xfId="1" applyFont="1" applyAlignment="1">
      <alignment vertical="top" wrapText="1"/>
    </xf>
    <xf numFmtId="0" fontId="4" fillId="5" borderId="0" xfId="0" quotePrefix="1" applyFont="1" applyFill="1" applyAlignment="1">
      <alignment horizontal="center"/>
    </xf>
    <xf numFmtId="0" fontId="4" fillId="5" borderId="0" xfId="0" applyFont="1" applyFill="1" applyAlignment="1">
      <alignment horizontal="center"/>
    </xf>
    <xf numFmtId="0" fontId="3" fillId="3" borderId="0" xfId="0" applyFont="1" applyFill="1" applyAlignment="1">
      <alignment horizontal="center"/>
    </xf>
    <xf numFmtId="0" fontId="9" fillId="3" borderId="0" xfId="0" applyFont="1" applyFill="1" applyAlignment="1">
      <alignment horizontal="center"/>
    </xf>
    <xf numFmtId="0" fontId="0" fillId="0" borderId="0" xfId="0" applyNumberFormat="1" applyAlignment="1">
      <alignment horizontal="center"/>
    </xf>
    <xf numFmtId="0" fontId="6" fillId="0" borderId="0" xfId="1" quotePrefix="1" applyFill="1" applyAlignment="1">
      <alignment horizontal="center"/>
    </xf>
    <xf numFmtId="0" fontId="0" fillId="0" borderId="0" xfId="0" quotePrefix="1" applyAlignment="1">
      <alignment horizontal="center"/>
    </xf>
    <xf numFmtId="0" fontId="10" fillId="5" borderId="2" xfId="0" applyFont="1" applyFill="1" applyBorder="1" applyAlignment="1">
      <alignment vertical="top"/>
    </xf>
    <xf numFmtId="0" fontId="8" fillId="5" borderId="3" xfId="0" applyNumberFormat="1" applyFont="1" applyFill="1" applyBorder="1" applyAlignment="1">
      <alignment horizontal="center"/>
    </xf>
    <xf numFmtId="0" fontId="12" fillId="0" borderId="0" xfId="0" applyFont="1" applyAlignment="1">
      <alignment vertical="center"/>
    </xf>
    <xf numFmtId="0" fontId="11" fillId="0" borderId="0" xfId="0" applyFont="1" applyAlignment="1">
      <alignment horizontal="center"/>
    </xf>
    <xf numFmtId="0" fontId="10" fillId="0" borderId="2" xfId="0" applyFont="1" applyFill="1" applyBorder="1" applyAlignment="1">
      <alignment vertical="top"/>
    </xf>
    <xf numFmtId="14" fontId="8" fillId="0" borderId="3" xfId="0" applyNumberFormat="1" applyFont="1" applyFill="1" applyBorder="1" applyAlignment="1">
      <alignment horizontal="center"/>
    </xf>
    <xf numFmtId="0" fontId="0" fillId="0" borderId="1" xfId="0" applyFont="1" applyFill="1" applyBorder="1" applyAlignment="1">
      <alignment vertical="top" wrapText="1"/>
    </xf>
    <xf numFmtId="0" fontId="0" fillId="0" borderId="0" xfId="0" quotePrefix="1" applyFill="1" applyAlignment="1">
      <alignment horizontal="center"/>
    </xf>
    <xf numFmtId="0" fontId="2" fillId="5" borderId="0" xfId="0" applyFont="1" applyFill="1" applyAlignment="1">
      <alignment horizontal="center" vertical="center"/>
    </xf>
    <xf numFmtId="0" fontId="0" fillId="0" borderId="0" xfId="0" applyAlignment="1"/>
    <xf numFmtId="0" fontId="2"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vertical="top"/>
    </xf>
    <xf numFmtId="49" fontId="0" fillId="0" borderId="0" xfId="0" applyNumberFormat="1" applyAlignment="1">
      <alignment vertical="top" wrapText="1"/>
    </xf>
  </cellXfs>
  <cellStyles count="2">
    <cellStyle name="Hyperlink" xfId="1" builtinId="8"/>
    <cellStyle name="Normal" xfId="0" builtinId="0"/>
  </cellStyles>
  <dxfs count="81">
    <dxf>
      <numFmt numFmtId="30" formatCode="@"/>
      <alignment horizontal="general" vertical="top" textRotation="0" wrapText="1" indent="0" justifyLastLine="0" shrinkToFit="0" readingOrder="0"/>
    </dxf>
    <dxf>
      <numFmt numFmtId="30" formatCode="@"/>
      <alignment horizontal="center" vertical="top" textRotation="0" wrapText="1" indent="0" justifyLastLine="0" shrinkToFit="0" readingOrder="0"/>
    </dxf>
    <dxf>
      <numFmt numFmtId="30" formatCode="@"/>
      <alignment horizontal="center" vertical="top" textRotation="0" wrapText="1" indent="0" justifyLastLine="0" shrinkToFit="0" readingOrder="0"/>
    </dxf>
    <dxf>
      <numFmt numFmtId="30" formatCode="@"/>
      <alignment horizontal="center" vertical="top" textRotation="0" wrapText="1" indent="0" justifyLastLine="0" shrinkToFit="0" readingOrder="0"/>
    </dxf>
    <dxf>
      <numFmt numFmtId="30" formatCode="@"/>
      <alignment horizontal="center" vertical="top" textRotation="0" wrapText="1" indent="0" justifyLastLine="0" shrinkToFit="0" readingOrder="0"/>
    </dxf>
    <dxf>
      <numFmt numFmtId="30" formatCode="@"/>
      <alignment horizontal="center" vertical="top" textRotation="0" wrapText="1" indent="0" justifyLastLine="0" shrinkToFit="0" readingOrder="0"/>
    </dxf>
    <dxf>
      <numFmt numFmtId="19" formatCode="m/d/yyyy"/>
      <fill>
        <patternFill patternType="none">
          <fgColor indexed="64"/>
          <bgColor auto="1"/>
        </patternFill>
      </fill>
      <alignment horizontal="center" vertical="top" textRotation="0" wrapText="1" indent="0" justifyLastLine="0" shrinkToFit="0" readingOrder="0"/>
    </dxf>
    <dxf>
      <numFmt numFmtId="19" formatCode="m/d/yyyy"/>
      <fill>
        <patternFill patternType="none">
          <fgColor indexed="64"/>
          <bgColor auto="1"/>
        </patternFill>
      </fill>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9" formatCode="m/d/yyyy"/>
      <alignment horizontal="general" vertical="top" textRotation="0" wrapText="1" indent="0" justifyLastLine="0" shrinkToFit="0" readingOrder="0"/>
    </dxf>
    <dxf>
      <numFmt numFmtId="19" formatCode="m/d/yyyy"/>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11"/>
        <color auto="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1" formatCode="0"/>
      <fill>
        <patternFill patternType="none">
          <fgColor indexed="64"/>
          <bgColor auto="1"/>
        </patternFill>
      </fill>
      <alignment horizontal="center" vertical="bottom" textRotation="0" wrapText="0" indent="0" justifyLastLine="0" shrinkToFit="0" readingOrder="0"/>
    </dxf>
    <dxf>
      <numFmt numFmtId="19" formatCode="m/d/yyyy"/>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theme="5" tint="0.39997558519241921"/>
        </left>
        <right/>
        <top style="thin">
          <color theme="5" tint="0.39997558519241921"/>
        </top>
        <bottom style="thin">
          <color theme="5" tint="0.39997558519241921"/>
        </bottom>
      </border>
    </dxf>
    <dxf>
      <fill>
        <patternFill patternType="none">
          <fgColor indexed="64"/>
          <bgColor auto="1"/>
        </patternFill>
      </fill>
    </dxf>
    <dxf>
      <fill>
        <patternFill patternType="none">
          <bgColor auto="1"/>
        </patternFill>
      </fill>
    </dxf>
    <dxf>
      <numFmt numFmtId="0" formatCode="General"/>
      <fill>
        <patternFill patternType="solid">
          <fgColor indexed="64"/>
          <bgColor theme="0" tint="-0.249977111117893"/>
        </patternFill>
      </fill>
    </dxf>
    <dxf>
      <numFmt numFmtId="0" formatCode="General"/>
      <fill>
        <patternFill patternType="solid">
          <fgColor indexed="64"/>
          <bgColor theme="0" tint="-0.249977111117893"/>
        </patternFill>
      </fill>
      <alignment horizontal="center" vertical="bottom" textRotation="0" indent="0" justifyLastLine="0" shrinkToFit="0" readingOrder="0"/>
    </dxf>
    <dxf>
      <numFmt numFmtId="0" formatCode="General"/>
      <fill>
        <patternFill patternType="solid">
          <fgColor indexed="64"/>
          <bgColor theme="0" tint="-0.249977111117893"/>
        </patternFill>
      </fill>
      <alignment horizontal="center" vertical="bottom" textRotation="0" indent="0" justifyLastLine="0" shrinkToFit="0" readingOrder="0"/>
    </dxf>
    <dxf>
      <numFmt numFmtId="19" formatCode="m/d/yyyy"/>
      <fill>
        <patternFill patternType="solid">
          <fgColor indexed="64"/>
          <bgColor theme="0" tint="-0.249977111117893"/>
        </patternFill>
      </fill>
      <alignment horizontal="center" vertical="bottom" textRotation="0" indent="0" justifyLastLine="0" shrinkToFit="0" readingOrder="0"/>
    </dxf>
    <dxf>
      <numFmt numFmtId="0" formatCode="General"/>
      <alignment horizontal="center" vertical="bottom" textRotation="0" wrapText="0" indent="0" justifyLastLine="0" shrinkToFit="0" readingOrder="0"/>
    </dxf>
    <dxf>
      <numFmt numFmtId="19" formatCode="m/d/yyyy"/>
      <fill>
        <patternFill>
          <fgColor indexed="64"/>
          <bgColor theme="0" tint="-0.34998626667073579"/>
        </patternFill>
      </fill>
      <alignment horizontal="center" vertical="bottom" textRotation="0"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solid">
          <fgColor indexed="64"/>
          <bgColor theme="0" tint="-0.34998626667073579"/>
        </patternFill>
      </fill>
      <alignment horizontal="general" vertical="top" textRotation="0" wrapText="0" indent="0" justifyLastLine="0" shrinkToFit="0" readingOrder="0"/>
    </dxf>
    <dxf>
      <font>
        <strike val="0"/>
        <outline val="0"/>
        <shadow val="0"/>
        <u val="none"/>
        <vertAlign val="baseline"/>
        <sz val="11"/>
        <color auto="1"/>
        <name val="Calibri"/>
        <scheme val="minor"/>
      </font>
      <numFmt numFmtId="0" formatCode="General"/>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alibri"/>
        <scheme val="minor"/>
      </font>
      <numFmt numFmtId="19" formatCode="m/d/yyyy"/>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fill>
        <patternFill patternType="none">
          <fgColor indexed="64"/>
          <bgColor indexed="65"/>
        </patternFill>
      </fill>
      <alignment horizontal="center" vertical="bottom" textRotation="0" wrapText="0" indent="0" justifyLastLine="0" shrinkToFit="0" readingOrder="0"/>
    </dxf>
    <dxf>
      <numFmt numFmtId="19" formatCode="m/d/yyyy"/>
      <fill>
        <patternFill patternType="none">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top" textRotation="0" wrapText="0" indent="0" justifyLastLine="0" shrinkToFit="0" readingOrder="0"/>
      <border diagonalUp="0" diagonalDown="0" outline="0">
        <left style="thin">
          <color theme="5" tint="0.39997558519241921"/>
        </left>
        <right/>
        <top style="thin">
          <color theme="5" tint="0.39997558519241921"/>
        </top>
        <bottom style="thin">
          <color theme="5" tint="0.39997558519241921"/>
        </bottom>
      </border>
    </dxf>
    <dxf>
      <fill>
        <patternFill patternType="none">
          <bgColor auto="1"/>
        </patternFill>
      </fill>
    </dxf>
    <dxf>
      <fill>
        <patternFill patternType="none">
          <bgColor auto="1"/>
        </patternFill>
      </fill>
    </dxf>
    <dxf>
      <numFmt numFmtId="0" formatCode="General"/>
      <alignment horizontal="left" vertical="bottom" textRotation="0" wrapText="0" indent="0" justifyLastLine="0" shrinkToFit="0" readingOrder="0"/>
    </dxf>
    <dxf>
      <fill>
        <patternFill patternType="none">
          <fgColor indexed="64"/>
          <bgColor theme="0" tint="-0.249977111117893"/>
        </patternFill>
      </fill>
    </dxf>
    <dxf>
      <fill>
        <patternFill patternType="none">
          <fgColor indexed="64"/>
          <bgColor auto="1"/>
        </patternFill>
      </fill>
      <alignment horizontal="center" vertical="bottom" textRotation="0" wrapText="0" indent="0" justifyLastLine="0" shrinkToFit="0" readingOrder="0"/>
    </dxf>
    <dxf>
      <font>
        <b/>
      </font>
      <fill>
        <patternFill patternType="none">
          <fgColor indexed="64"/>
          <bgColor theme="0" tint="-0.249977111117893"/>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none">
          <fgColor indexed="64"/>
          <bgColor auto="1"/>
        </patternFill>
      </fill>
      <alignment horizontal="center" vertical="top" textRotation="0" wrapText="0" indent="0" justifyLastLine="0" shrinkToFit="0" readingOrder="0"/>
    </dxf>
    <dxf>
      <fill>
        <patternFill patternType="solid">
          <fgColor indexed="64"/>
          <bgColor theme="0" tint="-0.249977111117893"/>
        </patternFill>
      </fill>
      <alignment horizontal="center" vertical="bottom" textRotation="0" wrapText="0" indent="0" justifyLastLine="0" shrinkToFit="0" readingOrder="0"/>
    </dxf>
    <dxf>
      <fill>
        <patternFill patternType="solid">
          <fgColor indexed="64"/>
          <bgColor theme="0" tint="-0.249977111117893"/>
        </patternFill>
      </fill>
      <alignment horizontal="center" vertical="bottom" textRotation="0" wrapText="0" indent="0" justifyLastLine="0" shrinkToFit="0" readingOrder="0"/>
    </dxf>
    <dxf>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bottom" textRotation="0" wrapText="0" indent="0" justifyLastLine="0" shrinkToFit="0" readingOrder="0"/>
    </dxf>
    <dxf>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1"/>
        <color theme="0"/>
        <name val="Calibri"/>
        <scheme val="minor"/>
      </font>
      <fill>
        <patternFill patternType="solid">
          <fgColor indexed="64"/>
          <bgColor theme="1"/>
        </patternFill>
      </fill>
    </dxf>
    <dxf>
      <fill>
        <patternFill patternType="solid">
          <fgColor indexed="64"/>
          <bgColor theme="0" tint="-0.14999847407452621"/>
        </patternFill>
      </fill>
      <alignment horizontal="center" vertical="top" textRotation="0" wrapText="0" indent="0" justifyLastLine="0" shrinkToFit="0" readingOrder="0"/>
    </dxf>
    <dxf>
      <fill>
        <patternFill patternType="solid">
          <fgColor indexed="64"/>
          <bgColor theme="0" tint="-0.14999847407452621"/>
        </patternFill>
      </fill>
      <alignment horizontal="center" vertical="top" textRotation="0" wrapText="0" indent="0" justifyLastLine="0" shrinkToFit="0" readingOrder="0"/>
    </dxf>
    <dxf>
      <numFmt numFmtId="19" formatCode="m/d/yyyy"/>
      <fill>
        <patternFill patternType="solid">
          <fgColor indexed="64"/>
          <bgColor theme="0" tint="-0.14999847407452621"/>
        </patternFill>
      </fill>
      <alignment horizontal="right" textRotation="0" wrapText="0" indent="0" justifyLastLine="0" shrinkToFit="0" readingOrder="0"/>
    </dxf>
    <dxf>
      <numFmt numFmtId="19" formatCode="m/d/yyyy"/>
      <fill>
        <patternFill patternType="solid">
          <fgColor indexed="64"/>
          <bgColor theme="0" tint="-0.14999847407452621"/>
        </patternFill>
      </fill>
      <alignment horizontal="right"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none">
          <fgColor indexed="64"/>
          <bgColor auto="1"/>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ables/table1.xml><?xml version="1.0" encoding="utf-8"?>
<table xmlns="http://schemas.openxmlformats.org/spreadsheetml/2006/main" id="6" name="Table6" displayName="Table6" ref="J3:M40" totalsRowShown="0" headerRowDxfId="80" dataDxfId="79">
  <autoFilter ref="J3:M40"/>
  <sortState ref="J4:M40">
    <sortCondition ref="J3:J40"/>
  </sortState>
  <tableColumns count="4">
    <tableColumn id="1" name="First Name" dataDxfId="78"/>
    <tableColumn id="2" name="Last Name" dataDxfId="77"/>
    <tableColumn id="3" name="Email Address" dataDxfId="76"/>
    <tableColumn id="4" name="Role" dataDxfId="75"/>
  </tableColumns>
  <tableStyleInfo name="TableStyleMedium1" showFirstColumn="0" showLastColumn="0" showRowStripes="1" showColumnStripes="0"/>
</table>
</file>

<file path=xl/tables/table10.xml><?xml version="1.0" encoding="utf-8"?>
<table xmlns="http://schemas.openxmlformats.org/spreadsheetml/2006/main" id="11" name="Table2612" displayName="Table2612" ref="C23:G31" totalsRowShown="0" headerRowDxfId="34" dataDxfId="33">
  <autoFilter ref="C23:G31"/>
  <tableColumns count="5">
    <tableColumn id="1" name="Input _x000a_Fields" dataDxfId="32"/>
    <tableColumn id="2" name="Planned _x000a_Start Date" dataDxfId="31">
      <calculatedColumnFormula>+'CapFeat-UI'!#REF!</calculatedColumnFormula>
    </tableColumn>
    <tableColumn id="7" name="Duration_x000a_(Days)" dataDxfId="30">
      <calculatedColumnFormula>+'CapFeat-UI'!#REF!</calculatedColumnFormula>
    </tableColumn>
    <tableColumn id="3" name="Planned _x000a_End Date" dataDxfId="29">
      <calculatedColumnFormula>+'CapFeat-UI'!#REF!</calculatedColumnFormula>
    </tableColumn>
    <tableColumn id="4" name="Release_x000a_" dataDxfId="28">
      <calculatedColumnFormula>+'CapFeat-UI'!#REF!</calculatedColumnFormula>
    </tableColumn>
  </tableColumns>
  <tableStyleInfo name="TableStyleMedium22" showFirstColumn="0" showLastColumn="0" showRowStripes="1" showColumnStripes="0"/>
</table>
</file>

<file path=xl/tables/table11.xml><?xml version="1.0" encoding="utf-8"?>
<table xmlns="http://schemas.openxmlformats.org/spreadsheetml/2006/main" id="1" name="AgileCentralQueryResultList" displayName="AgileCentralQueryResultList" ref="A1:I2" totalsRowShown="0" headerRowDxfId="27" dataDxfId="26">
  <autoFilter ref="A1:I2"/>
  <tableColumns count="9">
    <tableColumn id="1" name="Name" dataDxfId="25">
      <calculatedColumnFormula>+'CapFeat-UI'!C5&amp;": "&amp;'CapFeat-UI'!C6&amp;"-"&amp;'CapFeat-UI'!C7</calculatedColumnFormula>
    </tableColumn>
    <tableColumn id="2" name="PlannedStartDate" dataDxfId="24">
      <calculatedColumnFormula>+'CapFeat-UI'!C9</calculatedColumnFormula>
    </tableColumn>
    <tableColumn id="3" name="PlannedEndDate" dataDxfId="23">
      <calculatedColumnFormula>+'CapFeat-UI'!C10</calculatedColumnFormula>
    </tableColumn>
    <tableColumn id="10" name="Description" dataDxfId="22">
      <calculatedColumnFormula>+'CapFeat-UI'!C15&amp;Lookups!C4&amp;Lookups!C3&amp;'CapFeat-UI'!B16&amp;Lookups!E3&amp;'CapFeat-UI'!C16&amp;Lookups!C4&amp;Lookups!C3&amp;'CapFeat-UI'!B17&amp;Lookups!E3&amp;'CapFeat-UI'!C17&amp;Lookups!C4&amp;Lookups!C3&amp;'CapFeat-UI'!B18&amp;Lookups!E3&amp;'CapFeat-UI'!C18&amp;Lookups!C4&amp;Lookups!C3&amp;'CapFeat-UI'!B19&amp;Lookups!E3&amp;'CapFeat-UI'!C19&amp;Lookups!C4&amp;Lookups!C3&amp;'CapFeat-UI'!B20&amp;Lookups!E3&amp;'CapFeat-UI'!C20&amp;Lookups!C4&amp;Lookups!C3&amp;'CapFeat-UI'!B21&amp;Lookups!E3&amp;'CapFeat-UI'!C21</calculatedColumnFormula>
    </tableColumn>
    <tableColumn id="4" name="LeadTeam" dataDxfId="21">
      <calculatedColumnFormula>+'CapFeat-UI'!C11</calculatedColumnFormula>
    </tableColumn>
    <tableColumn id="5" name="PPM Optics ID (PRJxxxxxx)" dataDxfId="20">
      <calculatedColumnFormula>+'CapFeat-UI'!C5</calculatedColumnFormula>
    </tableColumn>
    <tableColumn id="6" name="State" dataDxfId="0"/>
    <tableColumn id="8" name="Owner" dataDxfId="19" dataCellStyle="Hyperlink">
      <calculatedColumnFormula>+'CapFeat-UI'!C12</calculatedColumnFormula>
    </tableColumn>
    <tableColumn id="9" name="Project" dataDxfId="18">
      <calculatedColumnFormula>+AgileCentralQueryResultList[LeadTeam]</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id="4" name="AgileCentralQueryResultList_1" displayName="AgileCentralQueryResultList_1" ref="A1:O10" totalsRowShown="0" headerRowDxfId="17" dataDxfId="16">
  <autoFilter ref="A1:O10"/>
  <tableColumns count="15">
    <tableColumn id="12" name="Parent" dataDxfId="15"/>
    <tableColumn id="6" name="Name" dataDxfId="14"/>
    <tableColumn id="1" name="Description" dataDxfId="13"/>
    <tableColumn id="13" name="Project" dataDxfId="12"/>
    <tableColumn id="14" name="Release" dataDxfId="11"/>
    <tableColumn id="2" name="Environment" dataDxfId="10"/>
    <tableColumn id="4" name="Feature Delivery Type" dataDxfId="9"/>
    <tableColumn id="3" name="Preliminary Estimate" dataDxfId="8"/>
    <tableColumn id="8" name="PlannedStartDate" dataDxfId="7">
      <calculatedColumnFormula>+'CapFeat-UI'!G5</calculatedColumnFormula>
    </tableColumn>
    <tableColumn id="7" name="PlannedEndDate" dataDxfId="6">
      <calculatedColumnFormula>+'CapFeat-UI'!I5</calculatedColumnFormula>
    </tableColumn>
    <tableColumn id="9" name="PPMOpticsIDPRJxxxxxx" dataDxfId="5"/>
    <tableColumn id="5" name="LeadTeam" dataDxfId="4"/>
    <tableColumn id="15" name="STATE" dataDxfId="3"/>
    <tableColumn id="10" name="Tags" dataDxfId="2"/>
    <tableColumn id="11" name="Owner" dataDxfId="1"/>
  </tableColumns>
  <tableStyleInfo name="TableStyleMedium3" showFirstColumn="0" showLastColumn="0" showRowStripes="1" showColumnStripes="0"/>
</table>
</file>

<file path=xl/tables/table2.xml><?xml version="1.0" encoding="utf-8"?>
<table xmlns="http://schemas.openxmlformats.org/spreadsheetml/2006/main" id="10" name="Table10" displayName="Table10" ref="E7:H31" totalsRowShown="0" headerRowDxfId="74" dataDxfId="73">
  <autoFilter ref="E7:H31"/>
  <tableColumns count="4">
    <tableColumn id="1" name="Start Date" dataDxfId="72"/>
    <tableColumn id="2" name="End Date" dataDxfId="71"/>
    <tableColumn id="3" name="Release" dataDxfId="70"/>
    <tableColumn id="4" name="Iteration" dataDxfId="69"/>
  </tableColumns>
  <tableStyleInfo name="TableStyleMedium2" showFirstColumn="0" showLastColumn="0" showRowStripes="1" showColumnStripes="0"/>
</table>
</file>

<file path=xl/tables/table3.xml><?xml version="1.0" encoding="utf-8"?>
<table xmlns="http://schemas.openxmlformats.org/spreadsheetml/2006/main" id="13" name="Table13" displayName="Table13" ref="B6:B15" totalsRowShown="0" headerRowDxfId="68" dataDxfId="67">
  <autoFilter ref="B6:B15"/>
  <tableColumns count="1">
    <tableColumn id="1" name="TeamNames" dataDxfId="66"/>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B18:C29" totalsRowShown="0" headerRowDxfId="65" dataDxfId="64">
  <autoFilter ref="B18:C29"/>
  <sortState ref="B19:C29">
    <sortCondition ref="B18:B29"/>
  </sortState>
  <tableColumns count="2">
    <tableColumn id="1" name="Project Type" dataDxfId="63"/>
    <tableColumn id="2" name="Name" dataDxfId="62"/>
  </tableColumns>
  <tableStyleInfo name="TableStyleMedium2" showFirstColumn="0" showLastColumn="0" showRowStripes="1" showColumnStripes="0"/>
</table>
</file>

<file path=xl/tables/table5.xml><?xml version="1.0" encoding="utf-8"?>
<table xmlns="http://schemas.openxmlformats.org/spreadsheetml/2006/main" id="15" name="Table616" displayName="Table616" ref="J44:M48" totalsRowShown="0" headerRowDxfId="61" dataDxfId="60">
  <autoFilter ref="J44:M48"/>
  <sortState ref="J36:M40">
    <sortCondition ref="L35:L40"/>
  </sortState>
  <tableColumns count="4">
    <tableColumn id="1" name="First Name" dataDxfId="59"/>
    <tableColumn id="2" name="Last Name" dataDxfId="58"/>
    <tableColumn id="3" name="Email Address" dataDxfId="57"/>
    <tableColumn id="4" name="Role" dataDxfId="56"/>
  </tableColumns>
  <tableStyleInfo name="TableStyleMedium3" showFirstColumn="0" showLastColumn="0" showRowStripes="1" showColumnStripes="0"/>
</table>
</file>

<file path=xl/tables/table6.xml><?xml version="1.0" encoding="utf-8"?>
<table xmlns="http://schemas.openxmlformats.org/spreadsheetml/2006/main" id="3" name="Table3" displayName="Table3" ref="B4:D21" totalsRowShown="0" headerRowDxfId="55" dataDxfId="54">
  <autoFilter ref="B4:D21"/>
  <tableColumns count="3">
    <tableColumn id="1" name="Input _x000a_Fields" dataDxfId="53"/>
    <tableColumn id="2" name="Values_x000a_" dataDxfId="52"/>
    <tableColumn id="3" name="Formats_x000a_" dataDxfId="51"/>
  </tableColumns>
  <tableStyleInfo name="TableStyleMedium2" showFirstColumn="0" showLastColumn="0" showRowStripes="1" showColumnStripes="0"/>
</table>
</file>

<file path=xl/tables/table7.xml><?xml version="1.0" encoding="utf-8"?>
<table xmlns="http://schemas.openxmlformats.org/spreadsheetml/2006/main" id="2" name="Table2" displayName="Table2" ref="B26:D35" totalsRowShown="0">
  <autoFilter ref="B26:D35"/>
  <tableColumns count="3">
    <tableColumn id="1" name="Input Fields"/>
    <tableColumn id="2" name="Values" dataDxfId="50">
      <calculatedColumnFormula>+AgileCentralQueryResultList[Name]</calculatedColumnFormula>
    </tableColumn>
    <tableColumn id="3" name="Formats"/>
  </tableColumns>
  <tableStyleInfo name="TableStyleMedium1" showFirstColumn="0" showLastColumn="0" showRowStripes="1" showColumnStripes="0"/>
</table>
</file>

<file path=xl/tables/table8.xml><?xml version="1.0" encoding="utf-8"?>
<table xmlns="http://schemas.openxmlformats.org/spreadsheetml/2006/main" id="5" name="Table26" displayName="Table26" ref="F4:J13" totalsRowShown="0" headerRowDxfId="49" dataDxfId="48">
  <autoFilter ref="F4:J13"/>
  <tableColumns count="5">
    <tableColumn id="1" name="Input _x000a_Fields" dataDxfId="47"/>
    <tableColumn id="2" name="Planned _x000a_Start Date" dataDxfId="46">
      <calculatedColumnFormula>+C9</calculatedColumnFormula>
    </tableColumn>
    <tableColumn id="7" name="Duration_x000a_(Days)" dataDxfId="45"/>
    <tableColumn id="3" name="Planned _x000a_End Date" dataDxfId="44">
      <calculatedColumnFormula>+C10</calculatedColumnFormula>
    </tableColumn>
    <tableColumn id="4" name="Release_x000a_" dataDxfId="43">
      <calculatedColumnFormula>IF(G5="","",VLOOKUP(Table26[[#This Row],[Planned 
Start Date]],Lookups!$E$8:$H$31,3,TRUE))</calculatedColumnFormula>
    </tableColumn>
  </tableColumns>
  <tableStyleInfo name="TableStyleMedium3" showFirstColumn="0" showLastColumn="0" showRowStripes="1" showColumnStripes="0"/>
</table>
</file>

<file path=xl/tables/table9.xml><?xml version="1.0" encoding="utf-8"?>
<table xmlns="http://schemas.openxmlformats.org/spreadsheetml/2006/main" id="9" name="Table9" displayName="Table9" ref="B3:I18" totalsRowShown="0">
  <autoFilter ref="B3:I18"/>
  <tableColumns count="8">
    <tableColumn id="1" name="Input Fields" dataDxfId="42"/>
    <tableColumn id="8" name="Owner" dataDxfId="41"/>
    <tableColumn id="2" name="Planned _x000a_Start Date" dataDxfId="40">
      <calculatedColumnFormula>+'CapFeat-UI'!G5</calculatedColumnFormula>
    </tableColumn>
    <tableColumn id="3" name="Duration_x000a_(Days)" dataDxfId="39"/>
    <tableColumn id="6" name="Planned _x000a_End Date" dataDxfId="38">
      <calculatedColumnFormula>IF(D4="","",+Table9[[#This Row],[Planned 
Start Date]]+Table9[[#This Row],[Duration
(Days)]])</calculatedColumnFormula>
    </tableColumn>
    <tableColumn id="4" name="Release" dataDxfId="37">
      <calculatedColumnFormula>IF(D4="","",VLOOKUP(Table9[[#This Row],[Planned 
Start Date]],Lookups!$E$8:$H$20,3,TRUE))</calculatedColumnFormula>
    </tableColumn>
    <tableColumn id="5" name="Iteration" dataDxfId="36">
      <calculatedColumnFormula>IF(D4="","",VLOOKUP(Table9[[#This Row],[Planned 
Start Date]],Lookups!$E$8:$H$20,4,TRUE))</calculatedColumnFormula>
    </tableColumn>
    <tableColumn id="7" name="Belongs to feature parent" dataDxfId="35">
      <calculatedColumnFormula>+'CapFeat-UI'!$C$28</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4" Type="http://schemas.openxmlformats.org/officeDocument/2006/relationships/table" Target="../tables/table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customProperty" Target="../customProperty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8"/>
  <sheetViews>
    <sheetView showGridLines="0" workbookViewId="0">
      <selection activeCell="J46" sqref="J46:L47"/>
    </sheetView>
  </sheetViews>
  <sheetFormatPr defaultRowHeight="15"/>
  <cols>
    <col min="2" max="2" width="20.7109375" customWidth="1"/>
    <col min="3" max="3" width="24.5703125" customWidth="1"/>
    <col min="4" max="4" width="3" customWidth="1"/>
    <col min="5" max="5" width="11.85546875" customWidth="1"/>
    <col min="6" max="6" width="12.5703125" customWidth="1"/>
    <col min="7" max="7" width="10.7109375" bestFit="1" customWidth="1"/>
    <col min="8" max="8" width="10.85546875" customWidth="1"/>
    <col min="9" max="9" width="3.42578125" customWidth="1"/>
    <col min="10" max="11" width="13.28515625" style="4" customWidth="1"/>
    <col min="12" max="12" width="36.7109375" style="4" customWidth="1"/>
    <col min="13" max="13" width="9.85546875" style="4" customWidth="1"/>
  </cols>
  <sheetData>
    <row r="2" spans="2:13">
      <c r="J2" s="21" t="s">
        <v>109</v>
      </c>
      <c r="K2" s="14"/>
      <c r="L2" s="14"/>
      <c r="M2" s="14"/>
    </row>
    <row r="3" spans="2:13">
      <c r="B3" s="7" t="s">
        <v>35</v>
      </c>
      <c r="C3" s="10" t="s">
        <v>36</v>
      </c>
      <c r="D3" s="10"/>
      <c r="E3" s="10" t="s">
        <v>39</v>
      </c>
      <c r="J3" s="46" t="s">
        <v>85</v>
      </c>
      <c r="K3" s="46" t="s">
        <v>86</v>
      </c>
      <c r="L3" s="43" t="s">
        <v>87</v>
      </c>
      <c r="M3" s="43" t="s">
        <v>88</v>
      </c>
    </row>
    <row r="4" spans="2:13">
      <c r="B4" s="9" t="s">
        <v>37</v>
      </c>
      <c r="C4" s="10" t="s">
        <v>38</v>
      </c>
      <c r="D4" s="10"/>
      <c r="E4" s="10"/>
      <c r="J4" s="48"/>
      <c r="K4" s="48"/>
      <c r="M4" s="48" t="s">
        <v>133</v>
      </c>
    </row>
    <row r="5" spans="2:13">
      <c r="J5" s="66"/>
      <c r="K5" s="66"/>
      <c r="L5" s="47"/>
      <c r="M5" s="66" t="s">
        <v>92</v>
      </c>
    </row>
    <row r="6" spans="2:13">
      <c r="B6" s="7" t="s">
        <v>13</v>
      </c>
      <c r="J6" s="65"/>
      <c r="K6" s="65"/>
      <c r="M6" s="65" t="s">
        <v>100</v>
      </c>
    </row>
    <row r="7" spans="2:13">
      <c r="B7" s="10"/>
      <c r="E7" s="18" t="s">
        <v>58</v>
      </c>
      <c r="F7" s="18" t="s">
        <v>59</v>
      </c>
      <c r="G7" s="18" t="s">
        <v>22</v>
      </c>
      <c r="H7" s="18" t="s">
        <v>60</v>
      </c>
      <c r="J7" s="45"/>
      <c r="K7" s="45"/>
      <c r="L7" s="5"/>
      <c r="M7" s="45" t="s">
        <v>100</v>
      </c>
    </row>
    <row r="8" spans="2:13">
      <c r="B8" s="10" t="s">
        <v>116</v>
      </c>
      <c r="E8" s="51">
        <v>43499</v>
      </c>
      <c r="F8" s="51">
        <v>43512</v>
      </c>
      <c r="G8" s="29" t="s">
        <v>143</v>
      </c>
      <c r="H8" s="29" t="s">
        <v>144</v>
      </c>
      <c r="J8" s="66"/>
      <c r="K8" s="66"/>
      <c r="L8" s="47"/>
      <c r="M8" s="66" t="s">
        <v>91</v>
      </c>
    </row>
    <row r="9" spans="2:13">
      <c r="B9" s="10" t="s">
        <v>117</v>
      </c>
      <c r="E9" s="51">
        <f t="shared" ref="E9:E31" si="0">+E8+14</f>
        <v>43513</v>
      </c>
      <c r="F9" s="51">
        <f t="shared" ref="F9:F31" si="1">+F8+14</f>
        <v>43526</v>
      </c>
      <c r="G9" s="29" t="s">
        <v>143</v>
      </c>
      <c r="H9" s="29" t="s">
        <v>145</v>
      </c>
      <c r="J9" s="66"/>
      <c r="K9" s="66"/>
      <c r="L9" s="47"/>
      <c r="M9" s="66" t="s">
        <v>133</v>
      </c>
    </row>
    <row r="10" spans="2:13">
      <c r="B10" s="10" t="s">
        <v>118</v>
      </c>
      <c r="E10" s="51">
        <f t="shared" si="0"/>
        <v>43527</v>
      </c>
      <c r="F10" s="51">
        <f t="shared" si="1"/>
        <v>43540</v>
      </c>
      <c r="G10" s="29" t="s">
        <v>143</v>
      </c>
      <c r="H10" s="29" t="s">
        <v>146</v>
      </c>
      <c r="J10" s="66" t="s">
        <v>101</v>
      </c>
      <c r="K10" s="66" t="s">
        <v>188</v>
      </c>
      <c r="L10" s="74" t="s">
        <v>103</v>
      </c>
      <c r="M10" s="66" t="s">
        <v>113</v>
      </c>
    </row>
    <row r="11" spans="2:13">
      <c r="B11" s="10" t="s">
        <v>119</v>
      </c>
      <c r="E11" s="51">
        <f t="shared" si="0"/>
        <v>43541</v>
      </c>
      <c r="F11" s="51">
        <f t="shared" si="1"/>
        <v>43554</v>
      </c>
      <c r="G11" s="29" t="s">
        <v>143</v>
      </c>
      <c r="H11" s="29" t="s">
        <v>147</v>
      </c>
      <c r="J11" s="45"/>
      <c r="K11" s="45"/>
      <c r="L11" s="45"/>
      <c r="M11" s="45" t="s">
        <v>133</v>
      </c>
    </row>
    <row r="12" spans="2:13">
      <c r="B12" s="10" t="s">
        <v>120</v>
      </c>
      <c r="E12" s="51">
        <f t="shared" si="0"/>
        <v>43555</v>
      </c>
      <c r="F12" s="51">
        <f t="shared" si="1"/>
        <v>43568</v>
      </c>
      <c r="G12" s="29" t="s">
        <v>143</v>
      </c>
      <c r="H12" s="29" t="s">
        <v>148</v>
      </c>
      <c r="J12" s="66"/>
      <c r="K12" s="66"/>
      <c r="L12" s="47"/>
      <c r="M12" s="66" t="s">
        <v>100</v>
      </c>
    </row>
    <row r="13" spans="2:13">
      <c r="B13" s="10"/>
      <c r="E13" s="51">
        <f t="shared" si="0"/>
        <v>43569</v>
      </c>
      <c r="F13" s="51">
        <f t="shared" si="1"/>
        <v>43582</v>
      </c>
      <c r="G13" s="29" t="s">
        <v>150</v>
      </c>
      <c r="H13" s="29" t="s">
        <v>149</v>
      </c>
      <c r="J13" s="65"/>
      <c r="K13" s="65"/>
      <c r="M13" s="65" t="s">
        <v>133</v>
      </c>
    </row>
    <row r="14" spans="2:13">
      <c r="B14" s="10"/>
      <c r="E14" s="51">
        <f t="shared" si="0"/>
        <v>43583</v>
      </c>
      <c r="F14" s="51">
        <f t="shared" si="1"/>
        <v>43596</v>
      </c>
      <c r="G14" s="29" t="s">
        <v>150</v>
      </c>
      <c r="H14" s="29" t="s">
        <v>162</v>
      </c>
      <c r="J14" s="65"/>
      <c r="K14" s="65"/>
      <c r="M14" s="65" t="s">
        <v>92</v>
      </c>
    </row>
    <row r="15" spans="2:13">
      <c r="B15" s="10"/>
      <c r="E15" s="51">
        <f t="shared" si="0"/>
        <v>43597</v>
      </c>
      <c r="F15" s="51">
        <f t="shared" si="1"/>
        <v>43610</v>
      </c>
      <c r="G15" s="29" t="s">
        <v>150</v>
      </c>
      <c r="H15" s="29" t="s">
        <v>163</v>
      </c>
      <c r="J15" s="44"/>
      <c r="K15" s="44"/>
      <c r="L15" s="5"/>
      <c r="M15" s="44" t="s">
        <v>134</v>
      </c>
    </row>
    <row r="16" spans="2:13">
      <c r="E16" s="51">
        <f t="shared" si="0"/>
        <v>43611</v>
      </c>
      <c r="F16" s="51">
        <f t="shared" si="1"/>
        <v>43624</v>
      </c>
      <c r="G16" s="29" t="s">
        <v>150</v>
      </c>
      <c r="H16" s="29" t="s">
        <v>164</v>
      </c>
      <c r="J16" s="48" t="s">
        <v>105</v>
      </c>
      <c r="K16" s="48" t="s">
        <v>135</v>
      </c>
      <c r="L16" s="4" t="s">
        <v>136</v>
      </c>
      <c r="M16" s="48" t="s">
        <v>91</v>
      </c>
    </row>
    <row r="17" spans="2:13">
      <c r="E17" s="51">
        <f t="shared" si="0"/>
        <v>43625</v>
      </c>
      <c r="F17" s="51">
        <f t="shared" si="1"/>
        <v>43638</v>
      </c>
      <c r="G17" s="29" t="s">
        <v>150</v>
      </c>
      <c r="H17" s="29" t="s">
        <v>165</v>
      </c>
      <c r="J17" s="66"/>
      <c r="K17" s="66"/>
      <c r="L17" s="47"/>
      <c r="M17" s="66" t="s">
        <v>137</v>
      </c>
    </row>
    <row r="18" spans="2:13">
      <c r="B18" s="70" t="s">
        <v>40</v>
      </c>
      <c r="C18" s="71" t="s">
        <v>0</v>
      </c>
      <c r="E18" s="51">
        <f t="shared" si="0"/>
        <v>43639</v>
      </c>
      <c r="F18" s="51">
        <f t="shared" si="1"/>
        <v>43652</v>
      </c>
      <c r="G18" s="29" t="s">
        <v>160</v>
      </c>
      <c r="H18" s="29" t="s">
        <v>161</v>
      </c>
      <c r="J18" s="66"/>
      <c r="K18" s="66"/>
      <c r="L18" s="47"/>
      <c r="M18" s="66" t="s">
        <v>133</v>
      </c>
    </row>
    <row r="19" spans="2:13">
      <c r="B19" s="68"/>
      <c r="C19" s="69" t="s">
        <v>111</v>
      </c>
      <c r="E19" s="51">
        <f t="shared" si="0"/>
        <v>43653</v>
      </c>
      <c r="F19" s="51">
        <f t="shared" si="1"/>
        <v>43666</v>
      </c>
      <c r="G19" s="29" t="s">
        <v>160</v>
      </c>
      <c r="H19" s="29" t="s">
        <v>166</v>
      </c>
      <c r="J19" s="66"/>
      <c r="K19" s="66"/>
      <c r="L19" s="47"/>
      <c r="M19" s="66" t="s">
        <v>138</v>
      </c>
    </row>
    <row r="20" spans="2:13">
      <c r="B20" s="42" t="s">
        <v>129</v>
      </c>
      <c r="C20" s="42" t="s">
        <v>121</v>
      </c>
      <c r="E20" s="51">
        <f t="shared" si="0"/>
        <v>43667</v>
      </c>
      <c r="F20" s="51">
        <f t="shared" si="1"/>
        <v>43680</v>
      </c>
      <c r="G20" s="29" t="s">
        <v>160</v>
      </c>
      <c r="H20" s="29" t="s">
        <v>167</v>
      </c>
      <c r="J20" s="66"/>
      <c r="K20" s="66"/>
      <c r="L20" s="47"/>
      <c r="M20" s="66" t="s">
        <v>104</v>
      </c>
    </row>
    <row r="21" spans="2:13">
      <c r="B21" s="42" t="s">
        <v>130</v>
      </c>
      <c r="C21" s="42" t="s">
        <v>122</v>
      </c>
      <c r="E21" s="51">
        <f t="shared" si="0"/>
        <v>43681</v>
      </c>
      <c r="F21" s="51">
        <f t="shared" si="1"/>
        <v>43694</v>
      </c>
      <c r="G21" s="29" t="s">
        <v>160</v>
      </c>
      <c r="H21" s="29" t="s">
        <v>168</v>
      </c>
      <c r="J21" s="47"/>
      <c r="K21" s="47"/>
      <c r="L21" s="74"/>
      <c r="M21" s="47" t="s">
        <v>91</v>
      </c>
    </row>
    <row r="22" spans="2:13">
      <c r="B22" s="42" t="s">
        <v>184</v>
      </c>
      <c r="C22" s="42" t="s">
        <v>123</v>
      </c>
      <c r="E22" s="51">
        <f t="shared" si="0"/>
        <v>43695</v>
      </c>
      <c r="F22" s="51">
        <f t="shared" si="1"/>
        <v>43708</v>
      </c>
      <c r="G22" s="29" t="s">
        <v>160</v>
      </c>
      <c r="H22" s="29" t="s">
        <v>177</v>
      </c>
      <c r="J22" s="65"/>
      <c r="K22" s="65"/>
      <c r="L22" s="5"/>
      <c r="M22" s="65" t="s">
        <v>100</v>
      </c>
    </row>
    <row r="23" spans="2:13">
      <c r="B23" s="42" t="s">
        <v>131</v>
      </c>
      <c r="C23" s="42" t="s">
        <v>124</v>
      </c>
      <c r="E23" s="51">
        <f t="shared" si="0"/>
        <v>43709</v>
      </c>
      <c r="F23" s="51">
        <f t="shared" si="1"/>
        <v>43722</v>
      </c>
      <c r="G23" s="29" t="s">
        <v>172</v>
      </c>
      <c r="H23" s="29" t="s">
        <v>174</v>
      </c>
      <c r="J23" s="65"/>
      <c r="K23" s="65"/>
      <c r="M23" s="66" t="s">
        <v>113</v>
      </c>
    </row>
    <row r="24" spans="2:13">
      <c r="B24" s="42" t="s">
        <v>112</v>
      </c>
      <c r="C24" s="42" t="s">
        <v>125</v>
      </c>
      <c r="E24" s="51">
        <f t="shared" si="0"/>
        <v>43723</v>
      </c>
      <c r="F24" s="51">
        <f t="shared" si="1"/>
        <v>43736</v>
      </c>
      <c r="G24" s="29" t="s">
        <v>172</v>
      </c>
      <c r="H24" s="29" t="s">
        <v>175</v>
      </c>
      <c r="J24" s="65"/>
      <c r="K24" s="65"/>
      <c r="L24" s="5"/>
      <c r="M24" s="65" t="s">
        <v>134</v>
      </c>
    </row>
    <row r="25" spans="2:13">
      <c r="B25" s="42" t="s">
        <v>132</v>
      </c>
      <c r="C25" s="42" t="s">
        <v>126</v>
      </c>
      <c r="E25" s="51">
        <f t="shared" si="0"/>
        <v>43737</v>
      </c>
      <c r="F25" s="51">
        <f t="shared" si="1"/>
        <v>43750</v>
      </c>
      <c r="G25" s="29" t="s">
        <v>172</v>
      </c>
      <c r="H25" s="29" t="s">
        <v>178</v>
      </c>
      <c r="J25" s="66"/>
      <c r="K25" s="66"/>
      <c r="L25" s="47"/>
      <c r="M25" s="66" t="s">
        <v>138</v>
      </c>
    </row>
    <row r="26" spans="2:13">
      <c r="B26" s="42" t="s">
        <v>127</v>
      </c>
      <c r="C26" s="42" t="s">
        <v>127</v>
      </c>
      <c r="E26" s="51">
        <f t="shared" si="0"/>
        <v>43751</v>
      </c>
      <c r="F26" s="51">
        <f t="shared" si="1"/>
        <v>43764</v>
      </c>
      <c r="G26" s="29" t="s">
        <v>172</v>
      </c>
      <c r="H26" s="29" t="s">
        <v>179</v>
      </c>
      <c r="J26" s="66"/>
      <c r="K26" s="66"/>
      <c r="L26" s="47"/>
      <c r="M26" s="66" t="s">
        <v>104</v>
      </c>
    </row>
    <row r="27" spans="2:13">
      <c r="B27" s="42" t="s">
        <v>128</v>
      </c>
      <c r="C27" s="42" t="s">
        <v>128</v>
      </c>
      <c r="E27" s="51">
        <f t="shared" si="0"/>
        <v>43765</v>
      </c>
      <c r="F27" s="51">
        <f t="shared" si="1"/>
        <v>43778</v>
      </c>
      <c r="G27" s="29" t="s">
        <v>172</v>
      </c>
      <c r="H27" s="29" t="s">
        <v>180</v>
      </c>
      <c r="J27" s="66"/>
      <c r="K27" s="66"/>
      <c r="L27" s="47"/>
      <c r="M27" s="66" t="s">
        <v>133</v>
      </c>
    </row>
    <row r="28" spans="2:13">
      <c r="B28" s="42" t="s">
        <v>192</v>
      </c>
      <c r="C28" s="42" t="s">
        <v>193</v>
      </c>
      <c r="E28" s="51">
        <f t="shared" si="0"/>
        <v>43779</v>
      </c>
      <c r="F28" s="51">
        <f t="shared" si="1"/>
        <v>43792</v>
      </c>
      <c r="G28" s="29" t="s">
        <v>173</v>
      </c>
      <c r="H28" s="29" t="s">
        <v>181</v>
      </c>
      <c r="J28" s="66" t="s">
        <v>139</v>
      </c>
      <c r="K28" s="66" t="s">
        <v>140</v>
      </c>
      <c r="L28" s="47" t="s">
        <v>141</v>
      </c>
      <c r="M28" s="66" t="s">
        <v>100</v>
      </c>
    </row>
    <row r="29" spans="2:13">
      <c r="B29" s="42"/>
      <c r="C29" s="42"/>
      <c r="E29" s="51">
        <f t="shared" si="0"/>
        <v>43793</v>
      </c>
      <c r="F29" s="51">
        <f t="shared" si="1"/>
        <v>43806</v>
      </c>
      <c r="G29" s="29" t="s">
        <v>173</v>
      </c>
      <c r="H29" s="29" t="s">
        <v>176</v>
      </c>
      <c r="J29" s="66"/>
      <c r="K29" s="66"/>
      <c r="L29" s="47"/>
      <c r="M29" s="66" t="s">
        <v>104</v>
      </c>
    </row>
    <row r="30" spans="2:13">
      <c r="E30" s="51">
        <f t="shared" si="0"/>
        <v>43807</v>
      </c>
      <c r="F30" s="51">
        <f t="shared" si="1"/>
        <v>43820</v>
      </c>
      <c r="G30" s="29" t="s">
        <v>173</v>
      </c>
      <c r="H30" s="29" t="s">
        <v>182</v>
      </c>
      <c r="J30" s="66"/>
      <c r="K30" s="66"/>
      <c r="L30" s="47"/>
      <c r="M30" s="66" t="s">
        <v>142</v>
      </c>
    </row>
    <row r="31" spans="2:13">
      <c r="E31" s="51">
        <f t="shared" si="0"/>
        <v>43821</v>
      </c>
      <c r="F31" s="51">
        <f t="shared" si="1"/>
        <v>43834</v>
      </c>
      <c r="G31" s="29" t="s">
        <v>173</v>
      </c>
      <c r="H31" s="29" t="s">
        <v>183</v>
      </c>
      <c r="J31" s="66"/>
      <c r="K31" s="66"/>
      <c r="L31" s="82"/>
      <c r="M31" s="66" t="s">
        <v>104</v>
      </c>
    </row>
    <row r="32" spans="2:13">
      <c r="J32" s="66"/>
      <c r="K32" s="66"/>
      <c r="L32" s="47"/>
      <c r="M32" s="66" t="s">
        <v>142</v>
      </c>
    </row>
    <row r="33" spans="10:13">
      <c r="J33" s="66"/>
      <c r="K33" s="66"/>
      <c r="L33" s="47"/>
      <c r="M33" s="66" t="s">
        <v>137</v>
      </c>
    </row>
    <row r="34" spans="10:13">
      <c r="J34" s="66"/>
      <c r="K34" s="66"/>
      <c r="L34" s="47"/>
      <c r="M34" s="66" t="s">
        <v>104</v>
      </c>
    </row>
    <row r="35" spans="10:13">
      <c r="J35" s="66"/>
      <c r="K35" s="66"/>
      <c r="L35" s="47"/>
      <c r="M35" s="66" t="s">
        <v>133</v>
      </c>
    </row>
    <row r="36" spans="10:13">
      <c r="J36" s="48"/>
      <c r="K36" s="48"/>
      <c r="M36" s="48" t="s">
        <v>104</v>
      </c>
    </row>
    <row r="37" spans="10:13">
      <c r="J37" s="66"/>
      <c r="K37" s="66"/>
      <c r="L37" s="47"/>
      <c r="M37" s="66" t="s">
        <v>133</v>
      </c>
    </row>
    <row r="38" spans="10:13">
      <c r="J38" s="65"/>
      <c r="K38" s="65"/>
      <c r="L38" s="5"/>
      <c r="M38" s="47" t="s">
        <v>113</v>
      </c>
    </row>
    <row r="39" spans="10:13">
      <c r="J39" s="65"/>
      <c r="K39" s="65"/>
      <c r="L39" s="5"/>
      <c r="M39" s="47" t="s">
        <v>113</v>
      </c>
    </row>
    <row r="40" spans="10:13">
      <c r="J40" s="47"/>
      <c r="K40" s="47"/>
      <c r="L40" s="73"/>
      <c r="M40" s="47" t="s">
        <v>113</v>
      </c>
    </row>
    <row r="43" spans="10:13">
      <c r="J43" s="21" t="s">
        <v>107</v>
      </c>
      <c r="K43" s="14"/>
      <c r="L43" s="14"/>
      <c r="M43" s="14"/>
    </row>
    <row r="44" spans="10:13">
      <c r="J44" s="46" t="s">
        <v>85</v>
      </c>
      <c r="K44" s="46" t="s">
        <v>86</v>
      </c>
      <c r="L44" s="43" t="s">
        <v>87</v>
      </c>
      <c r="M44" s="43" t="s">
        <v>88</v>
      </c>
    </row>
    <row r="45" spans="10:13">
      <c r="J45" s="66" t="s">
        <v>101</v>
      </c>
      <c r="K45" s="66" t="s">
        <v>102</v>
      </c>
      <c r="L45" s="47" t="s">
        <v>103</v>
      </c>
      <c r="M45" s="66" t="s">
        <v>90</v>
      </c>
    </row>
    <row r="46" spans="10:13">
      <c r="J46" s="45"/>
      <c r="K46" s="45"/>
      <c r="L46" s="45"/>
      <c r="M46" s="45" t="s">
        <v>89</v>
      </c>
    </row>
    <row r="47" spans="10:13">
      <c r="J47" s="66"/>
      <c r="K47" s="66"/>
      <c r="L47" s="47"/>
      <c r="M47" s="66" t="s">
        <v>92</v>
      </c>
    </row>
    <row r="48" spans="10:13">
      <c r="J48" s="47"/>
      <c r="K48" s="47"/>
      <c r="L48" s="47"/>
      <c r="M48" s="47" t="s">
        <v>113</v>
      </c>
    </row>
  </sheetData>
  <pageMargins left="0.7" right="0.7" top="0.75" bottom="0.75" header="0.3" footer="0.3"/>
  <pageSetup orientation="portrait" horizontalDpi="1200" verticalDpi="120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5"/>
  <sheetViews>
    <sheetView showGridLines="0" zoomScaleNormal="100" workbookViewId="0">
      <selection activeCell="C5" sqref="C5"/>
    </sheetView>
  </sheetViews>
  <sheetFormatPr defaultRowHeight="15"/>
  <cols>
    <col min="1" max="1" width="4.42578125" customWidth="1"/>
    <col min="2" max="2" width="22.140625" customWidth="1"/>
    <col min="3" max="3" width="61.7109375" style="4" customWidth="1"/>
    <col min="4" max="4" width="25.5703125" customWidth="1"/>
    <col min="5" max="5" width="4.7109375" customWidth="1"/>
    <col min="6" max="6" width="33.5703125" customWidth="1"/>
    <col min="7" max="7" width="13.85546875" customWidth="1"/>
    <col min="8" max="8" width="11.140625" customWidth="1"/>
    <col min="9" max="9" width="12.85546875" style="22" customWidth="1"/>
    <col min="10" max="10" width="12.7109375" customWidth="1"/>
    <col min="14" max="14" width="13.28515625" customWidth="1"/>
  </cols>
  <sheetData>
    <row r="3" spans="2:10">
      <c r="B3" s="11" t="s">
        <v>42</v>
      </c>
      <c r="C3" s="12"/>
      <c r="D3" s="11"/>
      <c r="F3" s="13" t="s">
        <v>68</v>
      </c>
      <c r="G3" s="14"/>
      <c r="H3" s="13"/>
      <c r="I3" s="21"/>
      <c r="J3" s="21"/>
    </row>
    <row r="4" spans="2:10" ht="30">
      <c r="B4" s="33" t="s">
        <v>71</v>
      </c>
      <c r="C4" s="23" t="s">
        <v>72</v>
      </c>
      <c r="D4" s="23" t="s">
        <v>73</v>
      </c>
      <c r="F4" s="33" t="s">
        <v>71</v>
      </c>
      <c r="G4" s="23" t="s">
        <v>63</v>
      </c>
      <c r="H4" s="23" t="s">
        <v>65</v>
      </c>
      <c r="I4" s="23" t="s">
        <v>64</v>
      </c>
      <c r="J4" s="23" t="s">
        <v>74</v>
      </c>
    </row>
    <row r="5" spans="2:10" ht="15" customHeight="1">
      <c r="B5" s="57" t="s">
        <v>7</v>
      </c>
      <c r="C5" s="78" t="s">
        <v>191</v>
      </c>
      <c r="D5" s="42" t="s">
        <v>16</v>
      </c>
      <c r="F5" s="55" t="s">
        <v>52</v>
      </c>
      <c r="G5" s="30">
        <f>+C9</f>
        <v>43530</v>
      </c>
      <c r="H5" s="16">
        <v>15</v>
      </c>
      <c r="I5" s="34">
        <f>IF(G5="","",+Table26[[#This Row],[Planned 
Start Date]]+Table26[[#This Row],[Duration
(Days)]])</f>
        <v>43545</v>
      </c>
      <c r="J5" s="52" t="str">
        <f>IF(G5="","",VLOOKUP(Table26[[#This Row],[Planned 
Start Date]],Lookups!$E$8:$H$31,3,TRUE))</f>
        <v>Release 18</v>
      </c>
    </row>
    <row r="6" spans="2:10" ht="15" customHeight="1">
      <c r="B6" s="57" t="s">
        <v>40</v>
      </c>
      <c r="C6" s="5" t="s">
        <v>192</v>
      </c>
      <c r="D6" s="56" t="s">
        <v>69</v>
      </c>
      <c r="F6" s="55" t="s">
        <v>154</v>
      </c>
      <c r="G6" s="30">
        <f t="shared" ref="G6:G12" si="0">G5+H5</f>
        <v>43545</v>
      </c>
      <c r="H6" s="16">
        <v>0</v>
      </c>
      <c r="I6" s="34">
        <f>IF(G6="","",+Table26[[#This Row],[Planned 
Start Date]]+Table26[[#This Row],[Duration
(Days)]])</f>
        <v>43545</v>
      </c>
      <c r="J6" s="52" t="str">
        <f>IF(G6="","",VLOOKUP(Table26[[#This Row],[Planned 
Start Date]],Lookups!$E$8:$H$31,3,TRUE))</f>
        <v>Release 18</v>
      </c>
    </row>
    <row r="7" spans="2:10" ht="15" customHeight="1">
      <c r="B7" s="57" t="s">
        <v>28</v>
      </c>
      <c r="C7" s="78" t="s">
        <v>194</v>
      </c>
      <c r="D7" s="42" t="s">
        <v>41</v>
      </c>
      <c r="F7" s="55" t="s">
        <v>155</v>
      </c>
      <c r="G7" s="30">
        <f t="shared" si="0"/>
        <v>43545</v>
      </c>
      <c r="H7" s="16">
        <v>0</v>
      </c>
      <c r="I7" s="34">
        <f>IF(G7="","",+Table26[[#This Row],[Planned 
Start Date]]+Table26[[#This Row],[Duration
(Days)]])</f>
        <v>43545</v>
      </c>
      <c r="J7" s="52" t="str">
        <f>IF(G7="","",VLOOKUP(Table26[[#This Row],[Planned 
Start Date]],Lookups!$E$8:$H$31,3,TRUE))</f>
        <v>Release 18</v>
      </c>
    </row>
    <row r="8" spans="2:10" ht="15" customHeight="1">
      <c r="B8" s="57" t="s">
        <v>27</v>
      </c>
      <c r="C8" s="61" t="s">
        <v>195</v>
      </c>
      <c r="D8" s="42" t="s">
        <v>70</v>
      </c>
      <c r="F8" s="55" t="s">
        <v>156</v>
      </c>
      <c r="G8" s="30">
        <f t="shared" si="0"/>
        <v>43545</v>
      </c>
      <c r="H8" s="16">
        <v>30</v>
      </c>
      <c r="I8" s="34">
        <f>IF(G8="","",+Table26[[#This Row],[Planned 
Start Date]]+Table26[[#This Row],[Duration
(Days)]])</f>
        <v>43575</v>
      </c>
      <c r="J8" s="52" t="str">
        <f>IF(G8="","",VLOOKUP(Table26[[#This Row],[Planned 
Start Date]],Lookups!$E$8:$H$31,3,TRUE))</f>
        <v>Release 18</v>
      </c>
    </row>
    <row r="9" spans="2:10" ht="15" customHeight="1">
      <c r="B9" s="57" t="s">
        <v>8</v>
      </c>
      <c r="C9" s="62">
        <v>43530</v>
      </c>
      <c r="D9" s="42" t="s">
        <v>17</v>
      </c>
      <c r="F9" s="55" t="s">
        <v>157</v>
      </c>
      <c r="G9" s="30">
        <f t="shared" si="0"/>
        <v>43575</v>
      </c>
      <c r="H9" s="16">
        <v>30</v>
      </c>
      <c r="I9" s="34">
        <f>IF(G9="","",+Table26[[#This Row],[Planned 
Start Date]]+Table26[[#This Row],[Duration
(Days)]])</f>
        <v>43605</v>
      </c>
      <c r="J9" s="52" t="str">
        <f>IF(G9="","",VLOOKUP(Table26[[#This Row],[Planned 
Start Date]],Lookups!$E$8:$H$31,3,TRUE))</f>
        <v>Release 19</v>
      </c>
    </row>
    <row r="10" spans="2:10" ht="15" customHeight="1">
      <c r="B10" s="57" t="s">
        <v>9</v>
      </c>
      <c r="C10" s="63">
        <v>43830</v>
      </c>
      <c r="D10" s="42" t="s">
        <v>17</v>
      </c>
      <c r="F10" s="75" t="s">
        <v>158</v>
      </c>
      <c r="G10" s="30">
        <f t="shared" si="0"/>
        <v>43605</v>
      </c>
      <c r="H10" s="16">
        <v>30</v>
      </c>
      <c r="I10" s="34">
        <f>IF(G10="","",+Table26[[#This Row],[Planned 
Start Date]]+Table26[[#This Row],[Duration
(Days)]])</f>
        <v>43635</v>
      </c>
      <c r="J10" s="76" t="str">
        <f>IF(G10="","",VLOOKUP(Table26[[#This Row],[Planned 
Start Date]],Lookups!$E$8:$H$31,3,TRUE))</f>
        <v>Release 19</v>
      </c>
    </row>
    <row r="11" spans="2:10" ht="15" customHeight="1">
      <c r="B11" s="57" t="s">
        <v>10</v>
      </c>
      <c r="C11" s="5" t="s">
        <v>117</v>
      </c>
      <c r="D11" s="56" t="s">
        <v>69</v>
      </c>
      <c r="F11" s="75" t="s">
        <v>159</v>
      </c>
      <c r="G11" s="30">
        <f t="shared" si="0"/>
        <v>43635</v>
      </c>
      <c r="H11" s="16">
        <v>30</v>
      </c>
      <c r="I11" s="34">
        <f>IF(G11="","",+Table26[[#This Row],[Planned 
Start Date]]+Table26[[#This Row],[Duration
(Days)]])</f>
        <v>43665</v>
      </c>
      <c r="J11" s="76" t="str">
        <f>IF(G11="","",VLOOKUP(Table26[[#This Row],[Planned 
Start Date]],Lookups!$E$8:$H$31,3,TRUE))</f>
        <v>Release 19</v>
      </c>
    </row>
    <row r="12" spans="2:10" ht="15" customHeight="1">
      <c r="B12" s="57" t="s">
        <v>108</v>
      </c>
      <c r="C12" s="5" t="s">
        <v>103</v>
      </c>
      <c r="D12" s="56" t="s">
        <v>69</v>
      </c>
      <c r="F12" s="55" t="s">
        <v>62</v>
      </c>
      <c r="G12" s="30">
        <f t="shared" si="0"/>
        <v>43665</v>
      </c>
      <c r="H12" s="32">
        <v>30</v>
      </c>
      <c r="I12" s="34">
        <f>IF(G12="","",+Table26[[#This Row],[Planned 
Start Date]]+Table26[[#This Row],[Duration
(Days)]])</f>
        <v>43695</v>
      </c>
      <c r="J12" s="52" t="str">
        <f>IF(G12="","",VLOOKUP(Table26[[#This Row],[Planned 
Start Date]],Lookups!$E$8:$H$31,3,TRUE))</f>
        <v>Release 20</v>
      </c>
    </row>
    <row r="13" spans="2:10" ht="15" customHeight="1">
      <c r="B13" s="57" t="s">
        <v>106</v>
      </c>
      <c r="C13" s="5" t="s">
        <v>103</v>
      </c>
      <c r="D13" s="56" t="s">
        <v>69</v>
      </c>
      <c r="F13" s="55" t="s">
        <v>57</v>
      </c>
      <c r="G13" s="30">
        <f>+C10</f>
        <v>43830</v>
      </c>
      <c r="H13" s="31">
        <f>+$C$10-Table26[[#This Row],[Planned 
Start Date]]</f>
        <v>0</v>
      </c>
      <c r="I13" s="34">
        <f>IF(G13="","",+Table26[[#This Row],[Planned 
Start Date]]+Table26[[#This Row],[Duration
(Days)]])</f>
        <v>43830</v>
      </c>
      <c r="J13" s="52" t="str">
        <f>IF(G13="","",VLOOKUP(Table26[[#This Row],[Planned 
Start Date]],Lookups!$E$8:$H$31,3,TRUE))</f>
        <v>Release 22</v>
      </c>
    </row>
    <row r="14" spans="2:10" ht="9.75" customHeight="1">
      <c r="B14" s="20"/>
      <c r="C14" s="20"/>
      <c r="D14" s="20"/>
    </row>
    <row r="15" spans="2:10" ht="45" customHeight="1">
      <c r="B15" s="59" t="s">
        <v>11</v>
      </c>
      <c r="C15" s="64" t="s">
        <v>196</v>
      </c>
      <c r="D15" s="58" t="s">
        <v>75</v>
      </c>
      <c r="F15" s="83" t="s">
        <v>110</v>
      </c>
      <c r="G15" s="84"/>
      <c r="H15" s="84"/>
      <c r="I15" s="84"/>
      <c r="J15" s="84"/>
    </row>
    <row r="16" spans="2:10" ht="45" customHeight="1">
      <c r="B16" s="60" t="s">
        <v>29</v>
      </c>
      <c r="C16" s="64"/>
      <c r="D16" s="58" t="s">
        <v>75</v>
      </c>
    </row>
    <row r="17" spans="2:4" ht="45" customHeight="1">
      <c r="B17" s="60" t="s">
        <v>30</v>
      </c>
      <c r="C17" s="64" t="s">
        <v>189</v>
      </c>
      <c r="D17" s="58" t="s">
        <v>75</v>
      </c>
    </row>
    <row r="18" spans="2:4" ht="45" customHeight="1">
      <c r="B18" s="60" t="s">
        <v>34</v>
      </c>
      <c r="C18" s="64" t="s">
        <v>190</v>
      </c>
      <c r="D18" s="58" t="s">
        <v>75</v>
      </c>
    </row>
    <row r="19" spans="2:4" ht="45" customHeight="1">
      <c r="B19" s="60" t="s">
        <v>31</v>
      </c>
      <c r="C19" s="64"/>
      <c r="D19" s="58" t="s">
        <v>75</v>
      </c>
    </row>
    <row r="20" spans="2:4" ht="30">
      <c r="B20" s="60" t="s">
        <v>32</v>
      </c>
      <c r="C20" s="64"/>
      <c r="D20" s="58" t="s">
        <v>75</v>
      </c>
    </row>
    <row r="21" spans="2:4" ht="30">
      <c r="B21" s="60" t="s">
        <v>33</v>
      </c>
      <c r="C21" s="77"/>
      <c r="D21" s="58" t="s">
        <v>75</v>
      </c>
    </row>
    <row r="25" spans="2:4">
      <c r="B25" t="s">
        <v>61</v>
      </c>
    </row>
    <row r="26" spans="2:4">
      <c r="B26" t="s">
        <v>18</v>
      </c>
      <c r="C26" s="4" t="s">
        <v>14</v>
      </c>
      <c r="D26" t="s">
        <v>15</v>
      </c>
    </row>
    <row r="27" spans="2:4">
      <c r="B27" s="6" t="s">
        <v>25</v>
      </c>
      <c r="C27" s="35" t="str">
        <f>+AgileCentralQueryResultList[Name]</f>
        <v>PRJ166463: M&amp;A-M&amp;A_UHOne_Vue_ETS_AHI</v>
      </c>
      <c r="D27" t="s">
        <v>26</v>
      </c>
    </row>
    <row r="28" spans="2:4">
      <c r="B28" s="6" t="s">
        <v>76</v>
      </c>
      <c r="C28" s="36" t="str">
        <f>+FeatImport!B2</f>
        <v>PRJ166463: Intial Engagement, AHI</v>
      </c>
      <c r="D28" t="s">
        <v>26</v>
      </c>
    </row>
    <row r="29" spans="2:4">
      <c r="B29" s="6" t="s">
        <v>76</v>
      </c>
      <c r="C29" s="36" t="str">
        <f>+FeatImport!B3</f>
        <v>PRJ166463: DEVELOPMENT Env Widgets, AHI</v>
      </c>
      <c r="D29" t="s">
        <v>26</v>
      </c>
    </row>
    <row r="30" spans="2:4">
      <c r="B30" s="6" t="s">
        <v>76</v>
      </c>
      <c r="C30" s="36" t="str">
        <f>+FeatImport!B4</f>
        <v>PRJ166463: TEST Env Widgets, AHI</v>
      </c>
      <c r="D30" t="s">
        <v>26</v>
      </c>
    </row>
    <row r="31" spans="2:4">
      <c r="B31" s="6" t="s">
        <v>76</v>
      </c>
      <c r="C31" s="36" t="str">
        <f>+FeatImport!B5</f>
        <v>PRJ166463: STAGE Env Widgets, AHI</v>
      </c>
      <c r="D31" t="s">
        <v>26</v>
      </c>
    </row>
    <row r="32" spans="2:4">
      <c r="B32" s="6" t="s">
        <v>76</v>
      </c>
      <c r="C32" s="36" t="str">
        <f>+FeatImport!B6</f>
        <v>PRJ166463: PRODUCTION Env Widgets, AHI</v>
      </c>
      <c r="D32" t="s">
        <v>26</v>
      </c>
    </row>
    <row r="33" spans="2:4">
      <c r="B33" s="6" t="s">
        <v>76</v>
      </c>
      <c r="C33" s="36" t="str">
        <f>+FeatImport!B9</f>
        <v>PRJ166463: GO-LIVE, Warranty Support Work, AHI</v>
      </c>
      <c r="D33" t="s">
        <v>26</v>
      </c>
    </row>
    <row r="34" spans="2:4">
      <c r="B34" s="6" t="s">
        <v>76</v>
      </c>
      <c r="C34" s="36" t="str">
        <f>+FeatImport!B8</f>
        <v>PRJ166463: Decom Activities, AHI</v>
      </c>
      <c r="D34" t="s">
        <v>26</v>
      </c>
    </row>
    <row r="35" spans="2:4">
      <c r="B35" s="6" t="s">
        <v>76</v>
      </c>
      <c r="C35" s="36" t="str">
        <f>+FeatImport!B10</f>
        <v>PRJ166463: TRUE-UP &amp; Close, AHI</v>
      </c>
      <c r="D35" t="s">
        <v>26</v>
      </c>
    </row>
  </sheetData>
  <mergeCells count="1">
    <mergeCell ref="F15:J15"/>
  </mergeCells>
  <dataValidations count="1">
    <dataValidation type="list" allowBlank="1" showInputMessage="1" showErrorMessage="1" sqref="C11">
      <formula1>TeamNames</formula1>
    </dataValidation>
  </dataValidations>
  <pageMargins left="0.7" right="0.7" top="0.75" bottom="0.75" header="0.3" footer="0.3"/>
  <pageSetup orientation="portrait" horizontalDpi="1200" verticalDpi="1200" r:id="rId1"/>
  <tableParts count="3">
    <tablePart r:id="rId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Lookups!$B$19:$B$29</xm:f>
          </x14:formula1>
          <xm:sqref>C6</xm:sqref>
        </x14:dataValidation>
        <x14:dataValidation type="list" allowBlank="1" showInputMessage="1" showErrorMessage="1">
          <x14:formula1>
            <xm:f>Lookups!$L$45:$L$48</xm:f>
          </x14:formula1>
          <xm:sqref>C12:C13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1"/>
  <sheetViews>
    <sheetView showGridLines="0" workbookViewId="0">
      <selection activeCell="C14" sqref="C14"/>
    </sheetView>
  </sheetViews>
  <sheetFormatPr defaultRowHeight="15"/>
  <cols>
    <col min="1" max="1" width="3.7109375" customWidth="1"/>
    <col min="2" max="2" width="59.28515625" customWidth="1"/>
    <col min="3" max="3" width="42.42578125" customWidth="1"/>
    <col min="4" max="4" width="15" customWidth="1"/>
    <col min="5" max="5" width="11.5703125" customWidth="1"/>
    <col min="6" max="6" width="15" customWidth="1"/>
    <col min="7" max="7" width="18.28515625" customWidth="1"/>
    <col min="8" max="8" width="16.85546875" customWidth="1"/>
    <col min="9" max="9" width="51.28515625" customWidth="1"/>
  </cols>
  <sheetData>
    <row r="2" spans="2:9">
      <c r="B2" s="37" t="s">
        <v>84</v>
      </c>
      <c r="C2" s="37"/>
      <c r="D2" s="38"/>
      <c r="E2" s="37"/>
      <c r="F2" s="37"/>
      <c r="G2" s="39"/>
      <c r="H2" s="39"/>
      <c r="I2" s="39"/>
    </row>
    <row r="3" spans="2:9" ht="29.25" customHeight="1">
      <c r="B3" s="33" t="s">
        <v>18</v>
      </c>
      <c r="C3" s="33" t="s">
        <v>4</v>
      </c>
      <c r="D3" s="23" t="s">
        <v>63</v>
      </c>
      <c r="E3" s="23" t="s">
        <v>65</v>
      </c>
      <c r="F3" s="23" t="s">
        <v>64</v>
      </c>
      <c r="G3" s="23" t="s">
        <v>22</v>
      </c>
      <c r="H3" s="23" t="s">
        <v>60</v>
      </c>
      <c r="I3" t="s">
        <v>77</v>
      </c>
    </row>
    <row r="4" spans="2:9" ht="15" customHeight="1">
      <c r="B4" s="54" t="s">
        <v>95</v>
      </c>
      <c r="C4" s="40" t="s">
        <v>136</v>
      </c>
      <c r="D4" s="53">
        <f>+'CapFeat-UI'!G5</f>
        <v>43530</v>
      </c>
      <c r="E4" s="4">
        <v>5</v>
      </c>
      <c r="F4" s="30">
        <f>IF(D4="","",+Table9[[#This Row],[Planned 
Start Date]]+Table9[[#This Row],[Duration
(Days)]])</f>
        <v>43535</v>
      </c>
      <c r="G4" s="42" t="str">
        <f>IF(D4="","",VLOOKUP(Table9[[#This Row],[Planned 
Start Date]],Lookups!$E$8:$H$20,3,TRUE))</f>
        <v>Release 18</v>
      </c>
      <c r="H4" s="42" t="str">
        <f>IF(D4="","",VLOOKUP(Table9[[#This Row],[Planned 
Start Date]],Lookups!$E$8:$H$20,4,TRUE))</f>
        <v>R18 Sprint 3</v>
      </c>
      <c r="I4" s="10" t="str">
        <f>+'CapFeat-UI'!$C$28</f>
        <v>PRJ166463: Intial Engagement, AHI</v>
      </c>
    </row>
    <row r="5" spans="2:9">
      <c r="B5" s="54" t="s">
        <v>79</v>
      </c>
      <c r="C5" s="40" t="s">
        <v>141</v>
      </c>
      <c r="D5" s="53">
        <f>+D4+E4</f>
        <v>43535</v>
      </c>
      <c r="E5" s="4">
        <v>10</v>
      </c>
      <c r="F5" s="30">
        <f>IF(D5="","",+Table9[[#This Row],[Planned 
Start Date]]+Table9[[#This Row],[Duration
(Days)]])</f>
        <v>43545</v>
      </c>
      <c r="G5" s="42" t="str">
        <f>IF(D5="","",VLOOKUP(Table9[[#This Row],[Planned 
Start Date]],Lookups!$E$8:$H$20,3,TRUE))</f>
        <v>Release 18</v>
      </c>
      <c r="H5" s="42" t="str">
        <f>IF(D5="","",VLOOKUP(Table9[[#This Row],[Planned 
Start Date]],Lookups!$E$8:$H$20,4,TRUE))</f>
        <v>R18 Sprint 3</v>
      </c>
      <c r="I5" s="10" t="str">
        <f>+'CapFeat-UI'!$C$28</f>
        <v>PRJ166463: Intial Engagement, AHI</v>
      </c>
    </row>
    <row r="6" spans="2:9">
      <c r="B6" s="54" t="s">
        <v>83</v>
      </c>
      <c r="C6" s="40" t="s">
        <v>136</v>
      </c>
      <c r="D6" s="53">
        <f>+D5</f>
        <v>43535</v>
      </c>
      <c r="E6" s="4">
        <v>5</v>
      </c>
      <c r="F6" s="30">
        <f>IF(D6="","",+Table9[[#This Row],[Planned 
Start Date]]+Table9[[#This Row],[Duration
(Days)]])</f>
        <v>43540</v>
      </c>
      <c r="G6" s="42" t="str">
        <f>IF(D6="","",VLOOKUP(Table9[[#This Row],[Planned 
Start Date]],Lookups!$E$8:$H$20,3,TRUE))</f>
        <v>Release 18</v>
      </c>
      <c r="H6" s="42" t="str">
        <f>IF(D6="","",VLOOKUP(Table9[[#This Row],[Planned 
Start Date]],Lookups!$E$8:$H$20,4,TRUE))</f>
        <v>R18 Sprint 3</v>
      </c>
      <c r="I6" s="10" t="str">
        <f>+'CapFeat-UI'!$C$28</f>
        <v>PRJ166463: Intial Engagement, AHI</v>
      </c>
    </row>
    <row r="7" spans="2:9">
      <c r="B7" s="54" t="s">
        <v>114</v>
      </c>
      <c r="C7" s="40" t="s">
        <v>141</v>
      </c>
      <c r="D7" s="53">
        <f>+D6</f>
        <v>43535</v>
      </c>
      <c r="E7" s="72">
        <v>5</v>
      </c>
      <c r="F7" s="30">
        <f>IF(D7="","",+Table9[[#This Row],[Planned 
Start Date]]+Table9[[#This Row],[Duration
(Days)]])</f>
        <v>43540</v>
      </c>
      <c r="G7" s="42" t="str">
        <f>IF(D7="","",VLOOKUP(Table9[[#This Row],[Planned 
Start Date]],Lookups!$E$8:$H$20,3,TRUE))</f>
        <v>Release 18</v>
      </c>
      <c r="H7" s="42" t="str">
        <f>IF(D7="","",VLOOKUP(Table9[[#This Row],[Planned 
Start Date]],Lookups!$E$8:$H$20,4,TRUE))</f>
        <v>R18 Sprint 3</v>
      </c>
      <c r="I7" s="49" t="str">
        <f>+'CapFeat-UI'!$C$28</f>
        <v>PRJ166463: Intial Engagement, AHI</v>
      </c>
    </row>
    <row r="8" spans="2:9">
      <c r="B8" s="54" t="s">
        <v>82</v>
      </c>
      <c r="C8" s="40" t="s">
        <v>136</v>
      </c>
      <c r="D8" s="53">
        <f>+F5</f>
        <v>43545</v>
      </c>
      <c r="E8" s="4">
        <v>2</v>
      </c>
      <c r="F8" s="30">
        <f>IF(D8="","",+Table9[[#This Row],[Planned 
Start Date]]+Table9[[#This Row],[Duration
(Days)]])</f>
        <v>43547</v>
      </c>
      <c r="G8" s="42" t="str">
        <f>IF(D8="","",VLOOKUP(Table9[[#This Row],[Planned 
Start Date]],Lookups!$E$8:$H$20,3,TRUE))</f>
        <v>Release 18</v>
      </c>
      <c r="H8" s="42" t="str">
        <f>IF(D8="","",VLOOKUP(Table9[[#This Row],[Planned 
Start Date]],Lookups!$E$8:$H$20,4,TRUE))</f>
        <v>R18 Sprint 4</v>
      </c>
      <c r="I8" s="10" t="str">
        <f>+'CapFeat-UI'!$C$28</f>
        <v>PRJ166463: Intial Engagement, AHI</v>
      </c>
    </row>
    <row r="9" spans="2:9" s="41" customFormat="1">
      <c r="B9" s="54" t="s">
        <v>96</v>
      </c>
      <c r="C9" s="40" t="s">
        <v>141</v>
      </c>
      <c r="D9" s="53">
        <f t="shared" ref="D9:E12" si="0">+D25</f>
        <v>43545</v>
      </c>
      <c r="E9" s="50">
        <f t="shared" si="0"/>
        <v>0</v>
      </c>
      <c r="F9" s="30">
        <f>IF(D9="","",+Table9[[#This Row],[Planned 
Start Date]]+Table9[[#This Row],[Duration
(Days)]])</f>
        <v>43545</v>
      </c>
      <c r="G9" s="42" t="str">
        <f>IF(D9="","",VLOOKUP(Table9[[#This Row],[Planned 
Start Date]],Lookups!$E$8:$H$20,3,TRUE))</f>
        <v>Release 18</v>
      </c>
      <c r="H9" s="42" t="str">
        <f>IF(D9="","",VLOOKUP(Table9[[#This Row],[Planned 
Start Date]],Lookups!$E$8:$H$20,4,TRUE))</f>
        <v>R18 Sprint 4</v>
      </c>
      <c r="I9" s="49" t="str">
        <f>+'CapFeat-UI'!$C$29</f>
        <v>PRJ166463: DEVELOPMENT Env Widgets, AHI</v>
      </c>
    </row>
    <row r="10" spans="2:9" s="41" customFormat="1">
      <c r="B10" s="54" t="s">
        <v>97</v>
      </c>
      <c r="C10" s="40" t="s">
        <v>141</v>
      </c>
      <c r="D10" s="53">
        <f t="shared" si="0"/>
        <v>43545</v>
      </c>
      <c r="E10" s="50">
        <f t="shared" si="0"/>
        <v>0</v>
      </c>
      <c r="F10" s="30">
        <f>IF(D10="","",+Table9[[#This Row],[Planned 
Start Date]]+Table9[[#This Row],[Duration
(Days)]])</f>
        <v>43545</v>
      </c>
      <c r="G10" s="42" t="str">
        <f>IF(D10="","",VLOOKUP(Table9[[#This Row],[Planned 
Start Date]],Lookups!$E$8:$H$20,3,TRUE))</f>
        <v>Release 18</v>
      </c>
      <c r="H10" s="42" t="str">
        <f>IF(D10="","",VLOOKUP(Table9[[#This Row],[Planned 
Start Date]],Lookups!$E$8:$H$20,4,TRUE))</f>
        <v>R18 Sprint 4</v>
      </c>
      <c r="I10" s="49" t="str">
        <f>+'CapFeat-UI'!$C$30</f>
        <v>PRJ166463: TEST Env Widgets, AHI</v>
      </c>
    </row>
    <row r="11" spans="2:9" s="41" customFormat="1">
      <c r="B11" s="54" t="s">
        <v>115</v>
      </c>
      <c r="C11" s="40" t="s">
        <v>141</v>
      </c>
      <c r="D11" s="53">
        <f t="shared" si="0"/>
        <v>43545</v>
      </c>
      <c r="E11" s="50">
        <f t="shared" si="0"/>
        <v>30</v>
      </c>
      <c r="F11" s="30">
        <f>IF(D11="","",+Table9[[#This Row],[Planned 
Start Date]]+Table9[[#This Row],[Duration
(Days)]])</f>
        <v>43575</v>
      </c>
      <c r="G11" s="42" t="str">
        <f>IF(D11="","",VLOOKUP(Table9[[#This Row],[Planned 
Start Date]],Lookups!$E$8:$H$20,3,TRUE))</f>
        <v>Release 18</v>
      </c>
      <c r="H11" s="42" t="str">
        <f>IF(D11="","",VLOOKUP(Table9[[#This Row],[Planned 
Start Date]],Lookups!$E$8:$H$20,4,TRUE))</f>
        <v>R18 Sprint 4</v>
      </c>
      <c r="I11" s="49" t="str">
        <f>+'CapFeat-UI'!$C$31</f>
        <v>PRJ166463: STAGE Env Widgets, AHI</v>
      </c>
    </row>
    <row r="12" spans="2:9" s="41" customFormat="1">
      <c r="B12" s="54" t="s">
        <v>98</v>
      </c>
      <c r="C12" s="40" t="s">
        <v>141</v>
      </c>
      <c r="D12" s="53">
        <f t="shared" si="0"/>
        <v>43575</v>
      </c>
      <c r="E12" s="50">
        <f t="shared" si="0"/>
        <v>30</v>
      </c>
      <c r="F12" s="30">
        <f>IF(D12="","",+Table9[[#This Row],[Planned 
Start Date]]+Table9[[#This Row],[Duration
(Days)]])</f>
        <v>43605</v>
      </c>
      <c r="G12" s="42" t="str">
        <f>IF(D12="","",VLOOKUP(Table9[[#This Row],[Planned 
Start Date]],Lookups!$E$8:$H$20,3,TRUE))</f>
        <v>Release 19</v>
      </c>
      <c r="H12" s="42" t="str">
        <f>IF(D12="","",VLOOKUP(Table9[[#This Row],[Planned 
Start Date]],Lookups!$E$8:$H$20,4,TRUE))</f>
        <v>R19 Sprint 1</v>
      </c>
      <c r="I12" s="49" t="str">
        <f>+'CapFeat-UI'!$C$32</f>
        <v>PRJ166463: PRODUCTION Env Widgets, AHI</v>
      </c>
    </row>
    <row r="13" spans="2:9" s="41" customFormat="1">
      <c r="B13" s="54" t="s">
        <v>99</v>
      </c>
      <c r="C13" s="40" t="s">
        <v>141</v>
      </c>
      <c r="D13" s="53">
        <f>+D28</f>
        <v>43575</v>
      </c>
      <c r="E13" s="50">
        <f>+E28</f>
        <v>30</v>
      </c>
      <c r="F13" s="30">
        <f>IF(D13="","",+Table9[[#This Row],[Planned 
Start Date]]+Table9[[#This Row],[Duration
(Days)]])</f>
        <v>43605</v>
      </c>
      <c r="G13" s="42" t="str">
        <f>IF(D13="","",VLOOKUP(Table9[[#This Row],[Planned 
Start Date]],Lookups!$E$8:$H$20,3,TRUE))</f>
        <v>Release 19</v>
      </c>
      <c r="H13" s="42" t="str">
        <f>IF(D13="","",VLOOKUP(Table9[[#This Row],[Planned 
Start Date]],Lookups!$E$8:$H$20,4,TRUE))</f>
        <v>R19 Sprint 1</v>
      </c>
      <c r="I13" s="49" t="str">
        <f>+'CapFeat-UI'!$C$32</f>
        <v>PRJ166463: PRODUCTION Env Widgets, AHI</v>
      </c>
    </row>
    <row r="14" spans="2:9">
      <c r="B14" s="54" t="s">
        <v>185</v>
      </c>
      <c r="C14" s="40" t="s">
        <v>136</v>
      </c>
      <c r="D14" s="53">
        <f>+F13</f>
        <v>43605</v>
      </c>
      <c r="E14" s="5">
        <v>1</v>
      </c>
      <c r="F14" s="30">
        <f>IF(D14="","",+Table9[[#This Row],[Planned 
Start Date]]+Table9[[#This Row],[Duration
(Days)]])</f>
        <v>43606</v>
      </c>
      <c r="G14" s="42" t="str">
        <f>IF(D14="","",VLOOKUP(Table9[[#This Row],[Planned 
Start Date]],Lookups!$E$8:$H$20,3,TRUE))</f>
        <v>Release 19</v>
      </c>
      <c r="H14" s="42" t="str">
        <f>IF(D14="","",VLOOKUP(Table9[[#This Row],[Planned 
Start Date]],Lookups!$E$8:$H$20,4,TRUE))</f>
        <v>R19 Sprint 3</v>
      </c>
      <c r="I14" s="49" t="str">
        <f>+'CapFeat-UI'!$C$32</f>
        <v>PRJ166463: PRODUCTION Env Widgets, AHI</v>
      </c>
    </row>
    <row r="15" spans="2:9">
      <c r="B15" s="54" t="s">
        <v>81</v>
      </c>
      <c r="C15" s="40" t="s">
        <v>136</v>
      </c>
      <c r="D15" s="53">
        <f>+D29</f>
        <v>43665</v>
      </c>
      <c r="E15" s="5">
        <v>2</v>
      </c>
      <c r="F15" s="30">
        <f>IF(D15="","",+Table9[[#This Row],[Planned 
Start Date]]+Table9[[#This Row],[Duration
(Days)]])</f>
        <v>43667</v>
      </c>
      <c r="G15" s="42" t="str">
        <f>IF(D15="","",VLOOKUP(Table9[[#This Row],[Planned 
Start Date]],Lookups!$E$8:$H$20,3,TRUE))</f>
        <v>Release 20</v>
      </c>
      <c r="H15" s="42" t="str">
        <f>IF(D15="","",VLOOKUP(Table9[[#This Row],[Planned 
Start Date]],Lookups!$E$8:$H$20,4,TRUE))</f>
        <v>R20 Sprint 2</v>
      </c>
      <c r="I15" s="10" t="str">
        <f>+'CapFeat-UI'!$C$33</f>
        <v>PRJ166463: GO-LIVE, Warranty Support Work, AHI</v>
      </c>
    </row>
    <row r="16" spans="2:9" ht="15" customHeight="1">
      <c r="B16" s="54" t="s">
        <v>94</v>
      </c>
      <c r="C16" s="40" t="s">
        <v>136</v>
      </c>
      <c r="D16" s="53">
        <f>+D15</f>
        <v>43665</v>
      </c>
      <c r="E16" s="16">
        <v>1</v>
      </c>
      <c r="F16" s="30">
        <f>IF(D16="","",+Table9[[#This Row],[Planned 
Start Date]]+Table9[[#This Row],[Duration
(Days)]])</f>
        <v>43666</v>
      </c>
      <c r="G16" s="42" t="str">
        <f>IF(D16="","",VLOOKUP(Table9[[#This Row],[Planned 
Start Date]],Lookups!$E$8:$H$20,3,TRUE))</f>
        <v>Release 20</v>
      </c>
      <c r="H16" s="42" t="str">
        <f>IF(D16="","",VLOOKUP(Table9[[#This Row],[Planned 
Start Date]],Lookups!$E$8:$H$20,4,TRUE))</f>
        <v>R20 Sprint 2</v>
      </c>
      <c r="I16" s="10" t="str">
        <f>+'CapFeat-UI'!$C$33</f>
        <v>PRJ166463: GO-LIVE, Warranty Support Work, AHI</v>
      </c>
    </row>
    <row r="17" spans="2:9" ht="15" customHeight="1">
      <c r="B17" s="54" t="s">
        <v>186</v>
      </c>
      <c r="C17" s="40" t="s">
        <v>136</v>
      </c>
      <c r="D17" s="53">
        <f>+D31</f>
        <v>43830</v>
      </c>
      <c r="E17" s="16">
        <v>10</v>
      </c>
      <c r="F17" s="30">
        <f>IF(D17="","",+Table9[[#This Row],[Planned 
Start Date]]+Table9[[#This Row],[Duration
(Days)]])</f>
        <v>43840</v>
      </c>
      <c r="G17" s="32" t="str">
        <f>IF(D17="","",VLOOKUP(Table9[[#This Row],[Planned 
Start Date]],Lookups!$E$8:$H$20,3,TRUE))</f>
        <v>Release 20</v>
      </c>
      <c r="H17" s="32" t="str">
        <f>IF(D17="","",VLOOKUP(Table9[[#This Row],[Planned 
Start Date]],Lookups!$E$8:$H$20,4,TRUE))</f>
        <v>R20 Sprint 3</v>
      </c>
      <c r="I17" s="49" t="str">
        <f>+'CapFeat-UI'!$C$34</f>
        <v>PRJ166463: Decom Activities, AHI</v>
      </c>
    </row>
    <row r="18" spans="2:9">
      <c r="B18" s="54" t="s">
        <v>80</v>
      </c>
      <c r="C18" s="40" t="s">
        <v>136</v>
      </c>
      <c r="D18" s="53">
        <f>+D31</f>
        <v>43830</v>
      </c>
      <c r="E18" s="4">
        <v>1</v>
      </c>
      <c r="F18" s="30">
        <f>IF(D18="","",+Table9[[#This Row],[Planned 
Start Date]]+Table9[[#This Row],[Duration
(Days)]])</f>
        <v>43831</v>
      </c>
      <c r="G18" s="42" t="str">
        <f>IF(D18="","",VLOOKUP(Table9[[#This Row],[Planned 
Start Date]],Lookups!$E$8:$H$20,3,TRUE))</f>
        <v>Release 20</v>
      </c>
      <c r="H18" s="42" t="str">
        <f>IF(D18="","",VLOOKUP(Table9[[#This Row],[Planned 
Start Date]],Lookups!$E$8:$H$20,4,TRUE))</f>
        <v>R20 Sprint 3</v>
      </c>
      <c r="I18" s="10" t="str">
        <f>+'CapFeat-UI'!$C$35</f>
        <v>PRJ166463: TRUE-UP &amp; Close, AHI</v>
      </c>
    </row>
    <row r="20" spans="2:9">
      <c r="F20" s="83" t="s">
        <v>67</v>
      </c>
      <c r="G20" s="85"/>
      <c r="H20" s="85"/>
      <c r="I20" s="85"/>
    </row>
    <row r="22" spans="2:9">
      <c r="C22" s="13" t="s">
        <v>93</v>
      </c>
      <c r="D22" s="14"/>
      <c r="E22" s="13"/>
      <c r="F22" s="21"/>
      <c r="G22" s="21"/>
    </row>
    <row r="23" spans="2:9" ht="30">
      <c r="C23" s="33" t="s">
        <v>71</v>
      </c>
      <c r="D23" s="23" t="s">
        <v>63</v>
      </c>
      <c r="E23" s="23" t="s">
        <v>65</v>
      </c>
      <c r="F23" s="23" t="s">
        <v>64</v>
      </c>
      <c r="G23" s="23" t="s">
        <v>74</v>
      </c>
    </row>
    <row r="24" spans="2:9">
      <c r="C24" s="15" t="s">
        <v>52</v>
      </c>
      <c r="D24" s="17">
        <f>+'CapFeat-UI'!G5</f>
        <v>43530</v>
      </c>
      <c r="E24" s="50">
        <f>+'CapFeat-UI'!H5</f>
        <v>15</v>
      </c>
      <c r="F24" s="17">
        <f>+'CapFeat-UI'!I5</f>
        <v>43545</v>
      </c>
      <c r="G24" s="17" t="str">
        <f>+'CapFeat-UI'!J5</f>
        <v>Release 18</v>
      </c>
    </row>
    <row r="25" spans="2:9">
      <c r="C25" s="15" t="s">
        <v>53</v>
      </c>
      <c r="D25" s="17">
        <f>+'CapFeat-UI'!G6</f>
        <v>43545</v>
      </c>
      <c r="E25" s="50">
        <f>+'CapFeat-UI'!H6</f>
        <v>0</v>
      </c>
      <c r="F25" s="17">
        <f>+'CapFeat-UI'!I6</f>
        <v>43545</v>
      </c>
      <c r="G25" s="17" t="str">
        <f>+'CapFeat-UI'!J6</f>
        <v>Release 18</v>
      </c>
    </row>
    <row r="26" spans="2:9">
      <c r="C26" s="15" t="s">
        <v>54</v>
      </c>
      <c r="D26" s="17">
        <f>+'CapFeat-UI'!G7</f>
        <v>43545</v>
      </c>
      <c r="E26" s="50">
        <f>+'CapFeat-UI'!H7</f>
        <v>0</v>
      </c>
      <c r="F26" s="17">
        <f>+'CapFeat-UI'!I7</f>
        <v>43545</v>
      </c>
      <c r="G26" s="17" t="str">
        <f>+'CapFeat-UI'!J7</f>
        <v>Release 18</v>
      </c>
    </row>
    <row r="27" spans="2:9">
      <c r="C27" s="15" t="s">
        <v>55</v>
      </c>
      <c r="D27" s="17">
        <f>+'CapFeat-UI'!G8</f>
        <v>43545</v>
      </c>
      <c r="E27" s="50">
        <f>+'CapFeat-UI'!H8</f>
        <v>30</v>
      </c>
      <c r="F27" s="17">
        <f>+'CapFeat-UI'!I8</f>
        <v>43575</v>
      </c>
      <c r="G27" s="17" t="str">
        <f>+'CapFeat-UI'!J8</f>
        <v>Release 18</v>
      </c>
    </row>
    <row r="28" spans="2:9">
      <c r="C28" s="15" t="s">
        <v>56</v>
      </c>
      <c r="D28" s="17">
        <f>+'CapFeat-UI'!G9</f>
        <v>43575</v>
      </c>
      <c r="E28" s="50">
        <f>+'CapFeat-UI'!H9</f>
        <v>30</v>
      </c>
      <c r="F28" s="17">
        <f>+'CapFeat-UI'!I9</f>
        <v>43605</v>
      </c>
      <c r="G28" s="17" t="str">
        <f>+'CapFeat-UI'!J9</f>
        <v>Release 19</v>
      </c>
    </row>
    <row r="29" spans="2:9">
      <c r="C29" s="15" t="s">
        <v>62</v>
      </c>
      <c r="D29" s="17">
        <f>+'CapFeat-UI'!G12</f>
        <v>43665</v>
      </c>
      <c r="E29" s="50">
        <f>+'CapFeat-UI'!H12</f>
        <v>30</v>
      </c>
      <c r="F29" s="17">
        <f>+'CapFeat-UI'!I12</f>
        <v>43695</v>
      </c>
      <c r="G29" s="17" t="str">
        <f>+'CapFeat-UI'!J12</f>
        <v>Release 20</v>
      </c>
    </row>
    <row r="30" spans="2:9">
      <c r="C30" s="79" t="str">
        <f>'CapFeat-UI'!F11</f>
        <v>Decom Activities</v>
      </c>
      <c r="D30" s="17">
        <f>+'CapFeat-UI'!G13</f>
        <v>43830</v>
      </c>
      <c r="E30" s="50">
        <f>+'CapFeat-UI'!H13</f>
        <v>0</v>
      </c>
      <c r="F30" s="80">
        <f>+'CapFeat-UI'!I13</f>
        <v>43830</v>
      </c>
      <c r="G30" s="80" t="str">
        <f>+'CapFeat-UI'!J13</f>
        <v>Release 22</v>
      </c>
    </row>
    <row r="31" spans="2:9">
      <c r="C31" s="15" t="s">
        <v>57</v>
      </c>
      <c r="D31" s="17">
        <f>+'CapFeat-UI'!G13</f>
        <v>43830</v>
      </c>
      <c r="E31" s="50">
        <f>+'CapFeat-UI'!H13</f>
        <v>0</v>
      </c>
      <c r="F31" s="17">
        <f>+'CapFeat-UI'!I13</f>
        <v>43830</v>
      </c>
      <c r="G31" s="17" t="str">
        <f>+'CapFeat-UI'!J13</f>
        <v>Release 22</v>
      </c>
    </row>
  </sheetData>
  <mergeCells count="1">
    <mergeCell ref="F20:I20"/>
  </mergeCells>
  <pageMargins left="0.7" right="0.7" top="0.75" bottom="0.75" header="0.3" footer="0.3"/>
  <pageSetup orientation="portrait" horizontalDpi="1200" verticalDpi="1200"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Lookups!$L$4:$L$35</xm:f>
          </x14:formula1>
          <xm:sqref>C4:C18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topLeftCell="B1" workbookViewId="0">
      <selection activeCell="F2" sqref="F2"/>
    </sheetView>
  </sheetViews>
  <sheetFormatPr defaultRowHeight="15"/>
  <cols>
    <col min="1" max="1" width="26" customWidth="1"/>
    <col min="2" max="3" width="23.5703125" customWidth="1"/>
    <col min="4" max="4" width="126.42578125" customWidth="1"/>
    <col min="5" max="6" width="12.28515625" customWidth="1"/>
    <col min="7" max="7" width="17.5703125" bestFit="1" customWidth="1"/>
    <col min="8" max="8" width="22.7109375" customWidth="1"/>
    <col min="9" max="9" width="16.85546875" customWidth="1"/>
  </cols>
  <sheetData>
    <row r="1" spans="1:9">
      <c r="A1" s="1" t="s">
        <v>0</v>
      </c>
      <c r="B1" s="1" t="s">
        <v>2</v>
      </c>
      <c r="C1" s="2" t="s">
        <v>1</v>
      </c>
      <c r="D1" s="1" t="s">
        <v>11</v>
      </c>
      <c r="E1" s="1" t="s">
        <v>3</v>
      </c>
      <c r="F1" s="1" t="s">
        <v>12</v>
      </c>
      <c r="G1" s="1" t="s">
        <v>202</v>
      </c>
      <c r="H1" s="1" t="s">
        <v>4</v>
      </c>
      <c r="I1" s="1" t="s">
        <v>5</v>
      </c>
    </row>
    <row r="2" spans="1:9" ht="290.25" customHeight="1">
      <c r="A2" s="3" t="str">
        <f>+'CapFeat-UI'!C5&amp;": "&amp;'CapFeat-UI'!C6&amp;"-"&amp;'CapFeat-UI'!C7</f>
        <v>PRJ166463: M&amp;A-M&amp;A_UHOne_Vue_ETS_AHI</v>
      </c>
      <c r="B2" s="8">
        <f>+'CapFeat-UI'!C9</f>
        <v>43530</v>
      </c>
      <c r="C2" s="8">
        <f>+'CapFeat-UI'!C10</f>
        <v>43830</v>
      </c>
      <c r="D2" s="3" t="str">
        <f>+'CapFeat-UI'!C15&amp;Lookups!C4&amp;Lookups!C3&amp;'CapFeat-UI'!B16&amp;Lookups!E3&amp;'CapFeat-UI'!C16&amp;Lookups!C4&amp;Lookups!C3&amp;'CapFeat-UI'!B17&amp;Lookups!E3&amp;'CapFeat-UI'!C17&amp;Lookups!C4&amp;Lookups!C3&amp;'CapFeat-UI'!B18&amp;Lookups!E3&amp;'CapFeat-UI'!C18&amp;Lookups!C4&amp;Lookups!C3&amp;'CapFeat-UI'!B19&amp;Lookups!E3&amp;'CapFeat-UI'!C19&amp;Lookups!C4&amp;Lookups!C3&amp;'CapFeat-UI'!B20&amp;Lookups!E3&amp;'CapFeat-UI'!C20&amp;Lookups!C4&amp;Lookups!C3&amp;'CapFeat-UI'!B21&amp;Lookups!E3&amp;'CapFeat-UI'!C21</f>
        <v xml:space="preserve"> As an application owner, I need the following &lt;br /&gt;&lt;br /&gt;&lt;b&gt;Completed:
&lt;/b&gt;&lt;br /&gt;&lt;br /&gt;&lt;br /&gt;&lt;b&gt;Next Steps:
&lt;/b&gt;&lt;br /&gt;Setup intro and discovery call with app team&lt;br /&gt;&lt;br /&gt;&lt;b&gt;Acceptance Criteria
&lt;/b&gt;&lt;br /&gt;Confirm hardware and software deployments against application
configuration, infrastructure, and architecture requirements. Validate
Upgrade Software integrations are properly deployed and the correct
components are released and migrated through environment promotion
cycles.&lt;br /&gt;&lt;br /&gt;&lt;b&gt;In Scope / Out of Scope:
&lt;/b&gt;&lt;br /&gt;&lt;br /&gt;&lt;br /&gt;&lt;b&gt;Notes:
&lt;/b&gt;&lt;br /&gt;&lt;br /&gt;&lt;br /&gt;&lt;b&gt;Contacts:
&lt;/b&gt;&lt;br /&gt;</v>
      </c>
      <c r="E2" s="3" t="str">
        <f>+'CapFeat-UI'!C11</f>
        <v>Phoenix Fire</v>
      </c>
      <c r="F2" s="3" t="str">
        <f>+'CapFeat-UI'!C5</f>
        <v>PRJ166463</v>
      </c>
      <c r="G2" s="88" t="s">
        <v>6</v>
      </c>
      <c r="H2" s="67" t="str">
        <f>+'CapFeat-UI'!C12</f>
        <v>charles.colstrom@optum.com</v>
      </c>
      <c r="I2" s="3" t="str">
        <f>+AgileCentralQueryResultList[LeadTeam]</f>
        <v>Phoenix Fire</v>
      </c>
    </row>
  </sheetData>
  <pageMargins left="0.7" right="0.7" top="0.75" bottom="0.75" header="0.3" footer="0.3"/>
  <customProperties>
    <customPr name="AgileCentralExcelAddinQuery" r:id="rId1"/>
  </customPropertie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tabSelected="1" workbookViewId="0">
      <selection activeCell="N2" sqref="N2"/>
    </sheetView>
  </sheetViews>
  <sheetFormatPr defaultRowHeight="15"/>
  <cols>
    <col min="1" max="1" width="38.42578125" customWidth="1"/>
    <col min="2" max="2" width="57.140625" customWidth="1"/>
    <col min="3" max="3" width="136" customWidth="1"/>
    <col min="4" max="4" width="15.42578125" style="4" customWidth="1"/>
    <col min="5" max="5" width="14.7109375" style="4" customWidth="1"/>
    <col min="6" max="8" width="16.140625" style="4" customWidth="1"/>
    <col min="9" max="9" width="18.7109375" style="4" customWidth="1"/>
    <col min="10" max="10" width="17.5703125" style="4" customWidth="1"/>
    <col min="11" max="11" width="22.7109375" style="4" customWidth="1"/>
    <col min="12" max="12" width="14.42578125" style="4" customWidth="1"/>
    <col min="13" max="14" width="18.85546875" customWidth="1"/>
    <col min="15" max="15" width="21.85546875" style="4" customWidth="1"/>
  </cols>
  <sheetData>
    <row r="1" spans="1:15">
      <c r="A1" s="1" t="s">
        <v>21</v>
      </c>
      <c r="B1" s="1" t="s">
        <v>0</v>
      </c>
      <c r="C1" s="1" t="s">
        <v>11</v>
      </c>
      <c r="D1" s="19" t="s">
        <v>5</v>
      </c>
      <c r="E1" s="19" t="s">
        <v>22</v>
      </c>
      <c r="F1" s="19" t="s">
        <v>19</v>
      </c>
      <c r="G1" s="19" t="s">
        <v>170</v>
      </c>
      <c r="H1" s="19" t="s">
        <v>78</v>
      </c>
      <c r="I1" s="19" t="s">
        <v>2</v>
      </c>
      <c r="J1" s="19" t="s">
        <v>1</v>
      </c>
      <c r="K1" s="19" t="s">
        <v>20</v>
      </c>
      <c r="L1" s="19" t="s">
        <v>3</v>
      </c>
      <c r="M1" s="19" t="s">
        <v>187</v>
      </c>
      <c r="N1" s="19" t="s">
        <v>197</v>
      </c>
      <c r="O1" s="19" t="s">
        <v>4</v>
      </c>
    </row>
    <row r="2" spans="1:15" s="25" customFormat="1" ht="75">
      <c r="A2" s="3" t="str">
        <f>+'CapFeat-UI'!C27</f>
        <v>PRJ166463: M&amp;A-M&amp;A_UHOne_Vue_ETS_AHI</v>
      </c>
      <c r="B2" s="3" t="str">
        <f>+'CapFeat-UI'!C5&amp;": Intial Engagement, "&amp;'CapFeat-UI'!C8</f>
        <v>PRJ166463: Intial Engagement, AHI</v>
      </c>
      <c r="C2" s="81" t="s">
        <v>169</v>
      </c>
      <c r="D2" s="27" t="str">
        <f>+'CapFeat-UI'!C11</f>
        <v>Phoenix Fire</v>
      </c>
      <c r="E2" s="26" t="str">
        <f>+'CapFeat-UI'!J5</f>
        <v>Release 18</v>
      </c>
      <c r="F2" s="27" t="s">
        <v>23</v>
      </c>
      <c r="G2" s="27" t="s">
        <v>171</v>
      </c>
      <c r="H2" s="27" t="s">
        <v>151</v>
      </c>
      <c r="I2" s="28">
        <f>+'CapFeat-UI'!G5</f>
        <v>43530</v>
      </c>
      <c r="J2" s="28">
        <f>+'CapFeat-UI'!I5</f>
        <v>43545</v>
      </c>
      <c r="K2" s="86" t="str">
        <f>+'CapFeat-UI'!C5</f>
        <v>PRJ166463</v>
      </c>
      <c r="L2" s="86" t="str">
        <f>+AgileCentralQueryResultList_1[[#This Row],[Project]]</f>
        <v>Phoenix Fire</v>
      </c>
      <c r="M2" s="86" t="s">
        <v>24</v>
      </c>
      <c r="N2" s="86" t="s">
        <v>199</v>
      </c>
      <c r="O2" s="86" t="str">
        <f>+'CapFeat-UI'!C13</f>
        <v>charles.colstrom@optum.com</v>
      </c>
    </row>
    <row r="3" spans="1:15" s="25" customFormat="1" ht="45">
      <c r="A3" s="3" t="str">
        <f t="shared" ref="A3:A7" si="0">+A2</f>
        <v>PRJ166463: M&amp;A-M&amp;A_UHOne_Vue_ETS_AHI</v>
      </c>
      <c r="B3" s="3" t="str">
        <f>+'CapFeat-UI'!C5&amp;": DEVELOPMENT Env Widgets, "&amp;'CapFeat-UI'!C8</f>
        <v>PRJ166463: DEVELOPMENT Env Widgets, AHI</v>
      </c>
      <c r="C3" s="3" t="s">
        <v>44</v>
      </c>
      <c r="D3" s="27" t="str">
        <f t="shared" ref="D3:D10" si="1">+D2</f>
        <v>Phoenix Fire</v>
      </c>
      <c r="E3" s="26" t="str">
        <f>+'CapFeat-UI'!J6</f>
        <v>Release 18</v>
      </c>
      <c r="F3" s="26" t="s">
        <v>45</v>
      </c>
      <c r="G3" s="26"/>
      <c r="H3" s="27" t="str">
        <f t="shared" ref="H3:H6" si="2">+H2</f>
        <v>M</v>
      </c>
      <c r="I3" s="28">
        <f>+'CapFeat-UI'!G6</f>
        <v>43545</v>
      </c>
      <c r="J3" s="28">
        <f>+'CapFeat-UI'!I6</f>
        <v>43545</v>
      </c>
      <c r="K3" s="86" t="str">
        <f>+K2</f>
        <v>PRJ166463</v>
      </c>
      <c r="L3" s="86" t="str">
        <f t="shared" ref="L3:L10" si="3">+L2</f>
        <v>Phoenix Fire</v>
      </c>
      <c r="M3" s="86" t="str">
        <f t="shared" ref="M3:M10" si="4">+M2</f>
        <v>Feature Created</v>
      </c>
      <c r="N3" s="86"/>
      <c r="O3" s="86" t="str">
        <f t="shared" ref="O3:O10" si="5">+O2</f>
        <v>charles.colstrom@optum.com</v>
      </c>
    </row>
    <row r="4" spans="1:15" s="25" customFormat="1" ht="45">
      <c r="A4" s="3" t="str">
        <f t="shared" si="0"/>
        <v>PRJ166463: M&amp;A-M&amp;A_UHOne_Vue_ETS_AHI</v>
      </c>
      <c r="B4" s="3" t="str">
        <f>+'CapFeat-UI'!C5&amp;": TEST Env Widgets, "&amp;'CapFeat-UI'!C8</f>
        <v>PRJ166463: TEST Env Widgets, AHI</v>
      </c>
      <c r="C4" s="3" t="s">
        <v>47</v>
      </c>
      <c r="D4" s="27" t="str">
        <f t="shared" si="1"/>
        <v>Phoenix Fire</v>
      </c>
      <c r="E4" s="26" t="str">
        <f>+'CapFeat-UI'!J7</f>
        <v>Release 18</v>
      </c>
      <c r="F4" s="26" t="s">
        <v>46</v>
      </c>
      <c r="G4" s="26"/>
      <c r="H4" s="27" t="str">
        <f t="shared" si="2"/>
        <v>M</v>
      </c>
      <c r="I4" s="28">
        <f>+'CapFeat-UI'!G7</f>
        <v>43545</v>
      </c>
      <c r="J4" s="28">
        <f>+'CapFeat-UI'!I7</f>
        <v>43545</v>
      </c>
      <c r="K4" s="86" t="str">
        <f t="shared" ref="K4:K10" si="6">+K3</f>
        <v>PRJ166463</v>
      </c>
      <c r="L4" s="86" t="str">
        <f t="shared" si="3"/>
        <v>Phoenix Fire</v>
      </c>
      <c r="M4" s="86" t="str">
        <f t="shared" si="4"/>
        <v>Feature Created</v>
      </c>
      <c r="N4" s="86"/>
      <c r="O4" s="86" t="str">
        <f t="shared" si="5"/>
        <v>charles.colstrom@optum.com</v>
      </c>
    </row>
    <row r="5" spans="1:15" s="25" customFormat="1" ht="45">
      <c r="A5" s="3" t="str">
        <f t="shared" si="0"/>
        <v>PRJ166463: M&amp;A-M&amp;A_UHOne_Vue_ETS_AHI</v>
      </c>
      <c r="B5" s="3" t="str">
        <f>+'CapFeat-UI'!C5&amp;": STAGE Env Widgets, "&amp;'CapFeat-UI'!C8</f>
        <v>PRJ166463: STAGE Env Widgets, AHI</v>
      </c>
      <c r="C5" s="3" t="s">
        <v>49</v>
      </c>
      <c r="D5" s="27" t="str">
        <f t="shared" si="1"/>
        <v>Phoenix Fire</v>
      </c>
      <c r="E5" s="26" t="str">
        <f>+'CapFeat-UI'!J8</f>
        <v>Release 18</v>
      </c>
      <c r="F5" s="26" t="s">
        <v>48</v>
      </c>
      <c r="G5" s="26"/>
      <c r="H5" s="27" t="str">
        <f t="shared" si="2"/>
        <v>M</v>
      </c>
      <c r="I5" s="28">
        <f>+'CapFeat-UI'!G8</f>
        <v>43545</v>
      </c>
      <c r="J5" s="28">
        <f>+'CapFeat-UI'!I8</f>
        <v>43575</v>
      </c>
      <c r="K5" s="86" t="str">
        <f t="shared" si="6"/>
        <v>PRJ166463</v>
      </c>
      <c r="L5" s="86" t="str">
        <f t="shared" si="3"/>
        <v>Phoenix Fire</v>
      </c>
      <c r="M5" s="86" t="str">
        <f t="shared" si="4"/>
        <v>Feature Created</v>
      </c>
      <c r="N5" s="87" t="s">
        <v>200</v>
      </c>
      <c r="O5" s="86" t="str">
        <f t="shared" si="5"/>
        <v>charles.colstrom@optum.com</v>
      </c>
    </row>
    <row r="6" spans="1:15" s="25" customFormat="1" ht="45">
      <c r="A6" s="3" t="str">
        <f t="shared" si="0"/>
        <v>PRJ166463: M&amp;A-M&amp;A_UHOne_Vue_ETS_AHI</v>
      </c>
      <c r="B6" s="3" t="str">
        <f>+'CapFeat-UI'!C5&amp;": PRODUCTION Env Widgets, "&amp;'CapFeat-UI'!C8</f>
        <v>PRJ166463: PRODUCTION Env Widgets, AHI</v>
      </c>
      <c r="C6" s="3" t="s">
        <v>50</v>
      </c>
      <c r="D6" s="27" t="str">
        <f t="shared" si="1"/>
        <v>Phoenix Fire</v>
      </c>
      <c r="E6" s="26" t="str">
        <f>+'CapFeat-UI'!J9</f>
        <v>Release 19</v>
      </c>
      <c r="F6" s="26" t="s">
        <v>51</v>
      </c>
      <c r="G6" s="26"/>
      <c r="H6" s="27" t="str">
        <f t="shared" si="2"/>
        <v>M</v>
      </c>
      <c r="I6" s="28">
        <f>+'CapFeat-UI'!G9</f>
        <v>43575</v>
      </c>
      <c r="J6" s="28">
        <f>+'CapFeat-UI'!I9</f>
        <v>43605</v>
      </c>
      <c r="K6" s="86" t="str">
        <f t="shared" si="6"/>
        <v>PRJ166463</v>
      </c>
      <c r="L6" s="86" t="str">
        <f t="shared" si="3"/>
        <v>Phoenix Fire</v>
      </c>
      <c r="M6" s="86" t="str">
        <f t="shared" si="4"/>
        <v>Feature Created</v>
      </c>
      <c r="N6" s="87" t="s">
        <v>201</v>
      </c>
      <c r="O6" s="86" t="str">
        <f t="shared" si="5"/>
        <v>charles.colstrom@optum.com</v>
      </c>
    </row>
    <row r="7" spans="1:15" s="25" customFormat="1" ht="45">
      <c r="A7" s="3" t="str">
        <f t="shared" si="0"/>
        <v>PRJ166463: M&amp;A-M&amp;A_UHOne_Vue_ETS_AHI</v>
      </c>
      <c r="B7" s="3" t="str">
        <f>+'CapFeat-UI'!C5&amp;": Post Build Configs, "&amp;'CapFeat-UI'!C8</f>
        <v>PRJ166463: Post Build Configs, AHI</v>
      </c>
      <c r="C7" s="3" t="s">
        <v>153</v>
      </c>
      <c r="D7" s="27" t="str">
        <f t="shared" si="1"/>
        <v>Phoenix Fire</v>
      </c>
      <c r="E7" s="26" t="str">
        <f>+'CapFeat-UI'!J11</f>
        <v>Release 19</v>
      </c>
      <c r="F7" s="27" t="s">
        <v>23</v>
      </c>
      <c r="G7" s="27" t="s">
        <v>171</v>
      </c>
      <c r="H7" s="27" t="s">
        <v>151</v>
      </c>
      <c r="I7" s="28">
        <f>+'CapFeat-UI'!G10</f>
        <v>43605</v>
      </c>
      <c r="J7" s="28">
        <f>+'CapFeat-UI'!I10</f>
        <v>43635</v>
      </c>
      <c r="K7" s="86" t="str">
        <f t="shared" si="6"/>
        <v>PRJ166463</v>
      </c>
      <c r="L7" s="86" t="str">
        <f t="shared" si="3"/>
        <v>Phoenix Fire</v>
      </c>
      <c r="M7" s="86" t="str">
        <f t="shared" si="4"/>
        <v>Feature Created</v>
      </c>
      <c r="N7" s="86"/>
      <c r="O7" s="86" t="str">
        <f t="shared" si="5"/>
        <v>charles.colstrom@optum.com</v>
      </c>
    </row>
    <row r="8" spans="1:15" s="25" customFormat="1" ht="45">
      <c r="A8" s="3" t="str">
        <f>+A9</f>
        <v>PRJ166463: M&amp;A-M&amp;A_UHOne_Vue_ETS_AHI</v>
      </c>
      <c r="B8" s="3" t="str">
        <f>+'CapFeat-UI'!C5&amp;": Decom Activities, "&amp;'CapFeat-UI'!C8</f>
        <v>PRJ166463: Decom Activities, AHI</v>
      </c>
      <c r="C8" s="24" t="s">
        <v>152</v>
      </c>
      <c r="D8" s="27" t="str">
        <f t="shared" si="1"/>
        <v>Phoenix Fire</v>
      </c>
      <c r="E8" s="26" t="str">
        <f>+'CapFeat-UI'!J12</f>
        <v>Release 20</v>
      </c>
      <c r="F8" s="27" t="s">
        <v>23</v>
      </c>
      <c r="G8" s="27" t="s">
        <v>171</v>
      </c>
      <c r="H8" s="27" t="str">
        <f>+H9</f>
        <v>M</v>
      </c>
      <c r="I8" s="28">
        <f>+'CapFeat-UI'!G11</f>
        <v>43635</v>
      </c>
      <c r="J8" s="28">
        <f>+'CapFeat-UI'!I11</f>
        <v>43665</v>
      </c>
      <c r="K8" s="86" t="str">
        <f t="shared" si="6"/>
        <v>PRJ166463</v>
      </c>
      <c r="L8" s="86" t="str">
        <f t="shared" si="3"/>
        <v>Phoenix Fire</v>
      </c>
      <c r="M8" s="86" t="str">
        <f t="shared" si="4"/>
        <v>Feature Created</v>
      </c>
      <c r="N8" s="86"/>
      <c r="O8" s="86" t="str">
        <f t="shared" si="5"/>
        <v>charles.colstrom@optum.com</v>
      </c>
    </row>
    <row r="9" spans="1:15" s="25" customFormat="1" ht="45">
      <c r="A9" s="3" t="str">
        <f>+A6</f>
        <v>PRJ166463: M&amp;A-M&amp;A_UHOne_Vue_ETS_AHI</v>
      </c>
      <c r="B9" s="3" t="str">
        <f>+'CapFeat-UI'!C5&amp;": GO-LIVE, Warranty Support Work, "&amp;'CapFeat-UI'!C8</f>
        <v>PRJ166463: GO-LIVE, Warranty Support Work, AHI</v>
      </c>
      <c r="C9" s="24" t="s">
        <v>66</v>
      </c>
      <c r="D9" s="27" t="str">
        <f t="shared" si="1"/>
        <v>Phoenix Fire</v>
      </c>
      <c r="E9" s="26" t="str">
        <f>+'CapFeat-UI'!J12</f>
        <v>Release 20</v>
      </c>
      <c r="F9" s="27" t="s">
        <v>23</v>
      </c>
      <c r="G9" s="27" t="s">
        <v>171</v>
      </c>
      <c r="H9" s="27" t="str">
        <f>+H6</f>
        <v>M</v>
      </c>
      <c r="I9" s="28">
        <f>+'CapFeat-UI'!G12</f>
        <v>43665</v>
      </c>
      <c r="J9" s="28">
        <f>+'CapFeat-UI'!I12</f>
        <v>43695</v>
      </c>
      <c r="K9" s="86" t="str">
        <f t="shared" si="6"/>
        <v>PRJ166463</v>
      </c>
      <c r="L9" s="86" t="str">
        <f t="shared" si="3"/>
        <v>Phoenix Fire</v>
      </c>
      <c r="M9" s="86" t="str">
        <f t="shared" si="4"/>
        <v>Feature Created</v>
      </c>
      <c r="N9" s="86" t="s">
        <v>198</v>
      </c>
      <c r="O9" s="86" t="str">
        <f t="shared" si="5"/>
        <v>charles.colstrom@optum.com</v>
      </c>
    </row>
    <row r="10" spans="1:15" s="25" customFormat="1" ht="45">
      <c r="A10" s="3" t="str">
        <f>+A8</f>
        <v>PRJ166463: M&amp;A-M&amp;A_UHOne_Vue_ETS_AHI</v>
      </c>
      <c r="B10" s="3" t="str">
        <f>+'CapFeat-UI'!C5&amp;": TRUE-UP &amp; Close, "&amp;'CapFeat-UI'!C8</f>
        <v>PRJ166463: TRUE-UP &amp; Close, AHI</v>
      </c>
      <c r="C10" s="3" t="s">
        <v>43</v>
      </c>
      <c r="D10" s="27" t="str">
        <f t="shared" si="1"/>
        <v>Phoenix Fire</v>
      </c>
      <c r="E10" s="26" t="str">
        <f>+'CapFeat-UI'!J13</f>
        <v>Release 22</v>
      </c>
      <c r="F10" s="27" t="s">
        <v>23</v>
      </c>
      <c r="G10" s="27" t="s">
        <v>171</v>
      </c>
      <c r="H10" s="27" t="str">
        <f>+H8</f>
        <v>M</v>
      </c>
      <c r="I10" s="28">
        <f>+'CapFeat-UI'!G13</f>
        <v>43830</v>
      </c>
      <c r="J10" s="28">
        <f>+'CapFeat-UI'!I13</f>
        <v>43830</v>
      </c>
      <c r="K10" s="86" t="str">
        <f t="shared" si="6"/>
        <v>PRJ166463</v>
      </c>
      <c r="L10" s="86" t="str">
        <f t="shared" si="3"/>
        <v>Phoenix Fire</v>
      </c>
      <c r="M10" s="86" t="str">
        <f t="shared" si="4"/>
        <v>Feature Created</v>
      </c>
      <c r="N10" s="86"/>
      <c r="O10" s="86" t="str">
        <f t="shared" si="5"/>
        <v>charles.colstrom@optum.com</v>
      </c>
    </row>
  </sheetData>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897a53ec-2016-4aee-8be4-ce9632eb08ca"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7B5F493E95CFC408C94B2B485E922B0" ma:contentTypeVersion="6" ma:contentTypeDescription="Create a new document." ma:contentTypeScope="" ma:versionID="628d0aa4c5bae39a3201ded7d6541cc2">
  <xsd:schema xmlns:xsd="http://www.w3.org/2001/XMLSchema" xmlns:xs="http://www.w3.org/2001/XMLSchema" xmlns:p="http://schemas.microsoft.com/office/2006/metadata/properties" xmlns:ns2="755f8382-c0a7-4dab-b771-9892b0569f7a" xmlns:ns3="b1ffd42c-a4c0-487e-bac5-f7a933aed7fd" targetNamespace="http://schemas.microsoft.com/office/2006/metadata/properties" ma:root="true" ma:fieldsID="62037e022fc5d2f9e20a26c8d16ed2ab" ns2:_="" ns3:_="">
    <xsd:import namespace="755f8382-c0a7-4dab-b771-9892b0569f7a"/>
    <xsd:import namespace="b1ffd42c-a4c0-487e-bac5-f7a933aed7fd"/>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f8382-c0a7-4dab-b771-9892b0569f7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ffd42c-a4c0-487e-bac5-f7a933aed7fd"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ff9dc638-fa6f-4d00-b2c6-f65270fd49c0}" ma:internalName="TaxCatchAll" ma:readOnly="false" ma:showField="CatchAllData" ma:web="b1ffd42c-a4c0-487e-bac5-f7a933aed7f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f9dc638-fa6f-4d00-b2c6-f65270fd49c0}" ma:internalName="TaxCatchAllLabel" ma:readOnly="true" ma:showField="CatchAllDataLabel" ma:web="b1ffd42c-a4c0-487e-bac5-f7a933aed7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b1ffd42c-a4c0-487e-bac5-f7a933aed7fd"/>
  </documentManagement>
</p:properties>
</file>

<file path=customXml/itemProps1.xml><?xml version="1.0" encoding="utf-8"?>
<ds:datastoreItem xmlns:ds="http://schemas.openxmlformats.org/officeDocument/2006/customXml" ds:itemID="{5F9F1973-BCF4-4731-B9DD-DE3ABD25E1BC}">
  <ds:schemaRefs>
    <ds:schemaRef ds:uri="http://schemas.microsoft.com/sharepoint/v3/contenttype/forms"/>
  </ds:schemaRefs>
</ds:datastoreItem>
</file>

<file path=customXml/itemProps2.xml><?xml version="1.0" encoding="utf-8"?>
<ds:datastoreItem xmlns:ds="http://schemas.openxmlformats.org/officeDocument/2006/customXml" ds:itemID="{18F709CF-F445-49CC-89CA-7FEB1BBB1972}">
  <ds:schemaRefs>
    <ds:schemaRef ds:uri="http://schemas.microsoft.com/sharepoint/events"/>
  </ds:schemaRefs>
</ds:datastoreItem>
</file>

<file path=customXml/itemProps3.xml><?xml version="1.0" encoding="utf-8"?>
<ds:datastoreItem xmlns:ds="http://schemas.openxmlformats.org/officeDocument/2006/customXml" ds:itemID="{72935D89-7567-4784-868B-E03159CA6C03}">
  <ds:schemaRefs>
    <ds:schemaRef ds:uri="Microsoft.SharePoint.Taxonomy.ContentTypeSync"/>
  </ds:schemaRefs>
</ds:datastoreItem>
</file>

<file path=customXml/itemProps4.xml><?xml version="1.0" encoding="utf-8"?>
<ds:datastoreItem xmlns:ds="http://schemas.openxmlformats.org/officeDocument/2006/customXml" ds:itemID="{A8C4B91E-9D5D-4268-8DD1-683C93F715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f8382-c0a7-4dab-b771-9892b0569f7a"/>
    <ds:schemaRef ds:uri="b1ffd42c-a4c0-487e-bac5-f7a933aed7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3129352-EC6B-4C3B-A387-10A0538E9B3B}">
  <ds:schemaRefs>
    <ds:schemaRef ds:uri="http://purl.org/dc/terms/"/>
    <ds:schemaRef ds:uri="b1ffd42c-a4c0-487e-bac5-f7a933aed7fd"/>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55f8382-c0a7-4dab-b771-9892b0569f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Lookups</vt:lpstr>
      <vt:lpstr>CapFeat-UI</vt:lpstr>
      <vt:lpstr>US-UI</vt:lpstr>
      <vt:lpstr>CapImport</vt:lpstr>
      <vt:lpstr>FeatImport</vt:lpstr>
      <vt:lpstr>ProjectTypes</vt:lpstr>
      <vt:lpstr>TeamNames</vt:lpstr>
    </vt:vector>
  </TitlesOfParts>
  <Company>UnitedHealth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Walls, Daniel E</dc:creator>
  <cp:lastModifiedBy>Colstrom, Charles P</cp:lastModifiedBy>
  <dcterms:created xsi:type="dcterms:W3CDTF">2017-05-26T12:39:38Z</dcterms:created>
  <dcterms:modified xsi:type="dcterms:W3CDTF">2019-03-06T21:45:38Z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0x010100B7B5F493E95CFC408C94B2B485E922B0</vt:lpwstr>
  </property>
</Properties>
</file>